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inn\Desktop\Campy COMS plans\FS241040\"/>
    </mc:Choice>
  </mc:AlternateContent>
  <bookViews>
    <workbookView xWindow="120" yWindow="285" windowWidth="19020" windowHeight="11715" tabRatio="928"/>
  </bookViews>
  <sheets>
    <sheet name="Direct Heating 56C All Data" sheetId="126" r:id="rId1"/>
    <sheet name="12628 Un-chilled Geeraerd Tail" sheetId="85" r:id="rId2"/>
    <sheet name="12628 Un-chilled" sheetId="80" r:id="rId3"/>
    <sheet name="12628PC_Geeraerd_Tail" sheetId="101" r:id="rId4"/>
    <sheet name="12628 Pre-chilled" sheetId="79" r:id="rId5"/>
    <sheet name="12662 Un-chilled Geeraerd_Tail" sheetId="55" r:id="rId6"/>
    <sheet name="12662 Un-chilled" sheetId="6" r:id="rId7"/>
    <sheet name="12662 Pre-chilled_Geeraerd_Tail" sheetId="111" r:id="rId8"/>
    <sheet name="12662 Pre-chilled" sheetId="7" r:id="rId9"/>
    <sheet name="13126UC_Weibull" sheetId="105" r:id="rId10"/>
    <sheet name="13126 Un-chilled" sheetId="65" r:id="rId11"/>
    <sheet name="13126PC_Geeraerd_Tail" sheetId="125" r:id="rId12"/>
    <sheet name="13126 Pre-chilled" sheetId="66" r:id="rId13"/>
    <sheet name="13136 Un-chilled Coroller" sheetId="60" r:id="rId14"/>
    <sheet name="13136 Un-chilled" sheetId="59" r:id="rId15"/>
    <sheet name="13136 Pre-chilled Coroller" sheetId="63" r:id="rId16"/>
    <sheet name="13136 Pre-chilled" sheetId="62" r:id="rId17"/>
  </sheets>
  <definedNames>
    <definedName name="solver_adj" localSheetId="1" hidden="1">'12628 Un-chilled Geeraerd Tail'!$G$2:$G$5</definedName>
    <definedName name="solver_adj" localSheetId="3" hidden="1">'12628PC_Geeraerd_Tail'!$G$2:$G$5</definedName>
    <definedName name="solver_adj" localSheetId="7" hidden="1">'12662 Pre-chilled_Geeraerd_Tail'!$G$2:$G$5</definedName>
    <definedName name="solver_adj" localSheetId="5" hidden="1">'12662 Un-chilled Geeraerd_Tail'!$G$2:$G$5</definedName>
    <definedName name="solver_adj" localSheetId="11" hidden="1">'13126PC_Geeraerd_Tail'!$G$2:$G$5</definedName>
    <definedName name="solver_adj" localSheetId="9" hidden="1">'13126UC_Weibull'!$G$3:$G$5</definedName>
    <definedName name="solver_adj" localSheetId="15" hidden="1">'13136 Pre-chilled Coroller'!$G$2:$G$6</definedName>
    <definedName name="solver_adj" localSheetId="13" hidden="1">'13136 Un-chilled Coroller'!$G$2:$G$6</definedName>
    <definedName name="solver_cvg" localSheetId="1" hidden="1">0.0000000001</definedName>
    <definedName name="solver_cvg" localSheetId="3" hidden="1">0.0000000001</definedName>
    <definedName name="solver_cvg" localSheetId="7" hidden="1">0.0000000001</definedName>
    <definedName name="solver_cvg" localSheetId="5" hidden="1">0.0000000001</definedName>
    <definedName name="solver_cvg" localSheetId="11" hidden="1">0.0000000001</definedName>
    <definedName name="solver_cvg" localSheetId="9" hidden="1">0.0000000001</definedName>
    <definedName name="solver_cvg" localSheetId="15" hidden="1">0.0000000001</definedName>
    <definedName name="solver_cvg" localSheetId="13" hidden="1">0.0000000001</definedName>
    <definedName name="solver_drv" localSheetId="1" hidden="1">2</definedName>
    <definedName name="solver_drv" localSheetId="3" hidden="1">2</definedName>
    <definedName name="solver_drv" localSheetId="7" hidden="1">2</definedName>
    <definedName name="solver_drv" localSheetId="5" hidden="1">2</definedName>
    <definedName name="solver_drv" localSheetId="11" hidden="1">2</definedName>
    <definedName name="solver_drv" localSheetId="9" hidden="1">2</definedName>
    <definedName name="solver_drv" localSheetId="15" hidden="1">2</definedName>
    <definedName name="solver_drv" localSheetId="13" hidden="1">2</definedName>
    <definedName name="solver_est" localSheetId="1" hidden="1">2</definedName>
    <definedName name="solver_est" localSheetId="3" hidden="1">2</definedName>
    <definedName name="solver_est" localSheetId="7" hidden="1">2</definedName>
    <definedName name="solver_est" localSheetId="5" hidden="1">2</definedName>
    <definedName name="solver_est" localSheetId="11" hidden="1">2</definedName>
    <definedName name="solver_est" localSheetId="9" hidden="1">2</definedName>
    <definedName name="solver_est" localSheetId="15" hidden="1">2</definedName>
    <definedName name="solver_est" localSheetId="13" hidden="1">2</definedName>
    <definedName name="solver_itr" localSheetId="1" hidden="1">10000</definedName>
    <definedName name="solver_itr" localSheetId="3" hidden="1">10000</definedName>
    <definedName name="solver_itr" localSheetId="7" hidden="1">10000</definedName>
    <definedName name="solver_itr" localSheetId="5" hidden="1">10000</definedName>
    <definedName name="solver_itr" localSheetId="11" hidden="1">10000</definedName>
    <definedName name="solver_itr" localSheetId="9" hidden="1">10000</definedName>
    <definedName name="solver_itr" localSheetId="15" hidden="1">10000</definedName>
    <definedName name="solver_itr" localSheetId="13" hidden="1">10000</definedName>
    <definedName name="solver_lhs1" localSheetId="1" hidden="1">'12628 Un-chilled Geeraerd Tail'!$G$3</definedName>
    <definedName name="solver_lhs1" localSheetId="3" hidden="1">'12628PC_Geeraerd_Tail'!$G$3</definedName>
    <definedName name="solver_lhs1" localSheetId="7" hidden="1">'12662 Pre-chilled_Geeraerd_Tail'!$G$3</definedName>
    <definedName name="solver_lhs1" localSheetId="5" hidden="1">'12662 Un-chilled Geeraerd_Tail'!$G$3</definedName>
    <definedName name="solver_lhs1" localSheetId="11" hidden="1">'13126PC_Geeraerd_Tail'!$G$3</definedName>
    <definedName name="solver_lhs1" localSheetId="9" hidden="1">'13126UC_Weibull'!$G$4</definedName>
    <definedName name="solver_lhs1" localSheetId="15" hidden="1">'13136 Pre-chilled Coroller'!$G$2</definedName>
    <definedName name="solver_lhs1" localSheetId="13" hidden="1">'13136 Un-chilled Coroller'!$G$2</definedName>
    <definedName name="solver_lhs2" localSheetId="9" hidden="1">'13126UC_Weibull'!$G$4</definedName>
    <definedName name="solver_lhs2" localSheetId="15" hidden="1">'13136 Pre-chilled Coroller'!$G$6</definedName>
    <definedName name="solver_lhs2" localSheetId="13" hidden="1">'13136 Un-chilled Coroller'!$G$6</definedName>
    <definedName name="solver_lhs3" localSheetId="9" hidden="1">'13126UC_Weibull'!$G$3</definedName>
    <definedName name="solver_lhs3" localSheetId="15" hidden="1">'13136 Pre-chilled Coroller'!$G$6</definedName>
    <definedName name="solver_lhs3" localSheetId="13" hidden="1">'13136 Un-chilled Coroller'!$G$6</definedName>
    <definedName name="solver_lhs4" localSheetId="9" hidden="1">'13126UC_Weibull'!$G$3</definedName>
    <definedName name="solver_lhs4" localSheetId="15" hidden="1">'13136 Pre-chilled Coroller'!$G$6</definedName>
    <definedName name="solver_lhs4" localSheetId="13" hidden="1">'13136 Un-chilled Coroller'!$G$6</definedName>
    <definedName name="solver_lhs5" localSheetId="9" hidden="1">'13126UC_Weibull'!$G$4</definedName>
    <definedName name="solver_lhs5" localSheetId="15" hidden="1">'13136 Pre-chilled Coroller'!$G$6</definedName>
    <definedName name="solver_lhs5" localSheetId="13" hidden="1">'13136 Un-chilled Coroller'!$G$6</definedName>
    <definedName name="solver_lhs6" localSheetId="15" hidden="1">'13136 Pre-chilled Coroller'!$G$4</definedName>
    <definedName name="solver_lhs6" localSheetId="13" hidden="1">'13136 Un-chilled Coroller'!$G$4</definedName>
    <definedName name="solver_lhs7" localSheetId="15" hidden="1">'13136 Pre-chilled Coroller'!$G$2</definedName>
    <definedName name="solver_lhs7" localSheetId="13" hidden="1">'13136 Un-chilled Coroller'!$G$2</definedName>
    <definedName name="solver_lin" localSheetId="1" hidden="1">2</definedName>
    <definedName name="solver_lin" localSheetId="3" hidden="1">2</definedName>
    <definedName name="solver_lin" localSheetId="7" hidden="1">2</definedName>
    <definedName name="solver_lin" localSheetId="5" hidden="1">2</definedName>
    <definedName name="solver_lin" localSheetId="11" hidden="1">2</definedName>
    <definedName name="solver_lin" localSheetId="9" hidden="1">2</definedName>
    <definedName name="solver_lin" localSheetId="15" hidden="1">2</definedName>
    <definedName name="solver_lin" localSheetId="13" hidden="1">2</definedName>
    <definedName name="solver_neg" localSheetId="1" hidden="1">2</definedName>
    <definedName name="solver_neg" localSheetId="3" hidden="1">2</definedName>
    <definedName name="solver_neg" localSheetId="7" hidden="1">2</definedName>
    <definedName name="solver_neg" localSheetId="5" hidden="1">2</definedName>
    <definedName name="solver_neg" localSheetId="11" hidden="1">2</definedName>
    <definedName name="solver_neg" localSheetId="9" hidden="1">2</definedName>
    <definedName name="solver_neg" localSheetId="15" hidden="1">2</definedName>
    <definedName name="solver_neg" localSheetId="13" hidden="1">2</definedName>
    <definedName name="solver_num" localSheetId="1" hidden="1">0</definedName>
    <definedName name="solver_num" localSheetId="3" hidden="1">0</definedName>
    <definedName name="solver_num" localSheetId="7" hidden="1">0</definedName>
    <definedName name="solver_num" localSheetId="5" hidden="1">0</definedName>
    <definedName name="solver_num" localSheetId="11" hidden="1">0</definedName>
    <definedName name="solver_num" localSheetId="9" hidden="1">0</definedName>
    <definedName name="solver_num" localSheetId="15" hidden="1">0</definedName>
    <definedName name="solver_num" localSheetId="13" hidden="1">0</definedName>
    <definedName name="solver_nwt" localSheetId="1" hidden="1">2</definedName>
    <definedName name="solver_nwt" localSheetId="3" hidden="1">2</definedName>
    <definedName name="solver_nwt" localSheetId="7" hidden="1">2</definedName>
    <definedName name="solver_nwt" localSheetId="5" hidden="1">2</definedName>
    <definedName name="solver_nwt" localSheetId="11" hidden="1">2</definedName>
    <definedName name="solver_nwt" localSheetId="9" hidden="1">2</definedName>
    <definedName name="solver_nwt" localSheetId="15" hidden="1">2</definedName>
    <definedName name="solver_nwt" localSheetId="13" hidden="1">2</definedName>
    <definedName name="solver_opt" localSheetId="1" hidden="1">'12628 Un-chilled Geeraerd Tail'!$D$23</definedName>
    <definedName name="solver_opt" localSheetId="3" hidden="1">'12628PC_Geeraerd_Tail'!$D$23</definedName>
    <definedName name="solver_opt" localSheetId="7" hidden="1">'12662 Pre-chilled_Geeraerd_Tail'!$D$22</definedName>
    <definedName name="solver_opt" localSheetId="5" hidden="1">'12662 Un-chilled Geeraerd_Tail'!$D$23</definedName>
    <definedName name="solver_opt" localSheetId="11" hidden="1">'13126PC_Geeraerd_Tail'!$D$23</definedName>
    <definedName name="solver_opt" localSheetId="9" hidden="1">'13126UC_Weibull'!$D$23</definedName>
    <definedName name="solver_opt" localSheetId="15" hidden="1">'13136 Pre-chilled Coroller'!$D$23</definedName>
    <definedName name="solver_opt" localSheetId="13" hidden="1">'13136 Un-chilled Coroller'!$D$22</definedName>
    <definedName name="solver_pre" localSheetId="1" hidden="1">0.000000000001</definedName>
    <definedName name="solver_pre" localSheetId="3" hidden="1">0.000000000001</definedName>
    <definedName name="solver_pre" localSheetId="7" hidden="1">0.000000000001</definedName>
    <definedName name="solver_pre" localSheetId="5" hidden="1">0.000000000001</definedName>
    <definedName name="solver_pre" localSheetId="11" hidden="1">0.000000000001</definedName>
    <definedName name="solver_pre" localSheetId="9" hidden="1">0.000000000001</definedName>
    <definedName name="solver_pre" localSheetId="15" hidden="1">0.000000000001</definedName>
    <definedName name="solver_pre" localSheetId="13" hidden="1">0.000000000001</definedName>
    <definedName name="solver_rel1" localSheetId="1" hidden="1">3</definedName>
    <definedName name="solver_rel1" localSheetId="3" hidden="1">3</definedName>
    <definedName name="solver_rel1" localSheetId="7" hidden="1">3</definedName>
    <definedName name="solver_rel1" localSheetId="5" hidden="1">3</definedName>
    <definedName name="solver_rel1" localSheetId="11" hidden="1">3</definedName>
    <definedName name="solver_rel1" localSheetId="9" hidden="1">3</definedName>
    <definedName name="solver_rel1" localSheetId="15" hidden="1">1</definedName>
    <definedName name="solver_rel1" localSheetId="13" hidden="1">1</definedName>
    <definedName name="solver_rel2" localSheetId="9" hidden="1">3</definedName>
    <definedName name="solver_rel2" localSheetId="15" hidden="1">3</definedName>
    <definedName name="solver_rel2" localSheetId="13" hidden="1">3</definedName>
    <definedName name="solver_rel3" localSheetId="9" hidden="1">3</definedName>
    <definedName name="solver_rel3" localSheetId="15" hidden="1">3</definedName>
    <definedName name="solver_rel3" localSheetId="13" hidden="1">3</definedName>
    <definedName name="solver_rel4" localSheetId="9" hidden="1">3</definedName>
    <definedName name="solver_rel4" localSheetId="15" hidden="1">3</definedName>
    <definedName name="solver_rel4" localSheetId="13" hidden="1">3</definedName>
    <definedName name="solver_rel5" localSheetId="9" hidden="1">3</definedName>
    <definedName name="solver_rel5" localSheetId="15" hidden="1">3</definedName>
    <definedName name="solver_rel5" localSheetId="13" hidden="1">3</definedName>
    <definedName name="solver_rel6" localSheetId="15" hidden="1">1</definedName>
    <definedName name="solver_rel6" localSheetId="13" hidden="1">1</definedName>
    <definedName name="solver_rel7" localSheetId="15" hidden="1">1</definedName>
    <definedName name="solver_rel7" localSheetId="13" hidden="1">1</definedName>
    <definedName name="solver_rhs1" localSheetId="1" hidden="1">'12628 Un-chilled Geeraerd Tail'!$J$1</definedName>
    <definedName name="solver_rhs1" localSheetId="3" hidden="1">'12628PC_Geeraerd_Tail'!$J$1</definedName>
    <definedName name="solver_rhs1" localSheetId="7" hidden="1">'12662 Pre-chilled_Geeraerd_Tail'!$J$1</definedName>
    <definedName name="solver_rhs1" localSheetId="5" hidden="1">'12662 Un-chilled Geeraerd_Tail'!$J$1</definedName>
    <definedName name="solver_rhs1" localSheetId="11" hidden="1">'13126PC_Geeraerd_Tail'!$J$1</definedName>
    <definedName name="solver_rhs1" localSheetId="9" hidden="1">'13126UC_Weibull'!$J$1</definedName>
    <definedName name="solver_rhs1" localSheetId="15" hidden="1">1.56066730616974</definedName>
    <definedName name="solver_rhs1" localSheetId="13" hidden="1">1.81331566744689</definedName>
    <definedName name="solver_rhs2" localSheetId="9" hidden="1">'13126UC_Weibull'!$J$1</definedName>
    <definedName name="solver_rhs2" localSheetId="15" hidden="1">'13136 Pre-chilled Coroller'!$G$3</definedName>
    <definedName name="solver_rhs2" localSheetId="13" hidden="1">'13136 Un-chilled Coroller'!$G$3</definedName>
    <definedName name="solver_rhs3" localSheetId="9" hidden="1">'13126UC_Weibull'!$G$4</definedName>
    <definedName name="solver_rhs3" localSheetId="15" hidden="1">'13136 Pre-chilled Coroller'!$G$3</definedName>
    <definedName name="solver_rhs3" localSheetId="13" hidden="1">'13136 Un-chilled Coroller'!$G$3</definedName>
    <definedName name="solver_rhs4" localSheetId="9" hidden="1">'13126UC_Weibull'!$J$1</definedName>
    <definedName name="solver_rhs4" localSheetId="15" hidden="1">'13136 Pre-chilled Coroller'!$J$1</definedName>
    <definedName name="solver_rhs4" localSheetId="13" hidden="1">'13136 Un-chilled Coroller'!$J$1</definedName>
    <definedName name="solver_rhs5" localSheetId="9" hidden="1">'13126UC_Weibull'!$J$1</definedName>
    <definedName name="solver_rhs5" localSheetId="15" hidden="1">'13136 Pre-chilled Coroller'!$G$3</definedName>
    <definedName name="solver_rhs5" localSheetId="13" hidden="1">'13136 Un-chilled Coroller'!$G$3</definedName>
    <definedName name="solver_rhs6" localSheetId="15" hidden="1">6</definedName>
    <definedName name="solver_rhs6" localSheetId="13" hidden="1">6</definedName>
    <definedName name="solver_rhs7" localSheetId="15" hidden="1">1.56066730616974</definedName>
    <definedName name="solver_rhs7" localSheetId="13" hidden="1">1.81331566744689</definedName>
    <definedName name="solver_scl" localSheetId="1" hidden="1">0</definedName>
    <definedName name="solver_scl" localSheetId="3" hidden="1">0</definedName>
    <definedName name="solver_scl" localSheetId="7" hidden="1">0</definedName>
    <definedName name="solver_scl" localSheetId="5" hidden="1">0</definedName>
    <definedName name="solver_scl" localSheetId="11" hidden="1">0</definedName>
    <definedName name="solver_scl" localSheetId="9" hidden="1">0</definedName>
    <definedName name="solver_scl" localSheetId="15" hidden="1">0</definedName>
    <definedName name="solver_scl" localSheetId="13" hidden="1">0</definedName>
    <definedName name="solver_sho" localSheetId="1" hidden="1">2</definedName>
    <definedName name="solver_sho" localSheetId="3" hidden="1">2</definedName>
    <definedName name="solver_sho" localSheetId="7" hidden="1">2</definedName>
    <definedName name="solver_sho" localSheetId="5" hidden="1">2</definedName>
    <definedName name="solver_sho" localSheetId="11" hidden="1">2</definedName>
    <definedName name="solver_sho" localSheetId="9" hidden="1">2</definedName>
    <definedName name="solver_sho" localSheetId="15" hidden="1">2</definedName>
    <definedName name="solver_sho" localSheetId="13" hidden="1">2</definedName>
    <definedName name="solver_tim" localSheetId="1" hidden="1">100</definedName>
    <definedName name="solver_tim" localSheetId="3" hidden="1">100</definedName>
    <definedName name="solver_tim" localSheetId="7" hidden="1">100</definedName>
    <definedName name="solver_tim" localSheetId="5" hidden="1">100</definedName>
    <definedName name="solver_tim" localSheetId="11" hidden="1">100</definedName>
    <definedName name="solver_tim" localSheetId="9" hidden="1">100</definedName>
    <definedName name="solver_tim" localSheetId="15" hidden="1">100</definedName>
    <definedName name="solver_tim" localSheetId="13" hidden="1">100</definedName>
    <definedName name="solver_tol" localSheetId="1" hidden="1">0.05</definedName>
    <definedName name="solver_tol" localSheetId="3" hidden="1">0.05</definedName>
    <definedName name="solver_tol" localSheetId="7" hidden="1">0.05</definedName>
    <definedName name="solver_tol" localSheetId="5" hidden="1">0.05</definedName>
    <definedName name="solver_tol" localSheetId="11" hidden="1">0.05</definedName>
    <definedName name="solver_tol" localSheetId="9" hidden="1">0.05</definedName>
    <definedName name="solver_tol" localSheetId="15" hidden="1">0.05</definedName>
    <definedName name="solver_tol" localSheetId="13" hidden="1">0.05</definedName>
    <definedName name="solver_typ" localSheetId="1" hidden="1">2</definedName>
    <definedName name="solver_typ" localSheetId="3" hidden="1">2</definedName>
    <definedName name="solver_typ" localSheetId="7" hidden="1">2</definedName>
    <definedName name="solver_typ" localSheetId="5" hidden="1">2</definedName>
    <definedName name="solver_typ" localSheetId="11" hidden="1">2</definedName>
    <definedName name="solver_typ" localSheetId="9" hidden="1">2</definedName>
    <definedName name="solver_typ" localSheetId="15" hidden="1">2</definedName>
    <definedName name="solver_typ" localSheetId="13" hidden="1">2</definedName>
    <definedName name="solver_val" localSheetId="1" hidden="1">0</definedName>
    <definedName name="solver_val" localSheetId="3" hidden="1">0</definedName>
    <definedName name="solver_val" localSheetId="7" hidden="1">0</definedName>
    <definedName name="solver_val" localSheetId="5" hidden="1">0</definedName>
    <definedName name="solver_val" localSheetId="11" hidden="1">0</definedName>
    <definedName name="solver_val" localSheetId="9" hidden="1">0</definedName>
    <definedName name="solver_val" localSheetId="15" hidden="1">0</definedName>
    <definedName name="solver_val" localSheetId="13" hidden="1">0</definedName>
  </definedNames>
  <calcPr calcId="152511"/>
</workbook>
</file>

<file path=xl/calcChain.xml><?xml version="1.0" encoding="utf-8"?>
<calcChain xmlns="http://schemas.openxmlformats.org/spreadsheetml/2006/main">
  <c r="F167" i="126" l="1"/>
  <c r="F166" i="126"/>
  <c r="F165" i="126"/>
  <c r="F164" i="126"/>
  <c r="F163" i="126"/>
  <c r="F162" i="126"/>
  <c r="F161" i="126"/>
  <c r="F160" i="126"/>
  <c r="F159" i="126"/>
  <c r="F158" i="126"/>
  <c r="F157" i="126"/>
  <c r="F156" i="126"/>
  <c r="F155" i="126"/>
  <c r="F154" i="126"/>
  <c r="F153" i="126"/>
  <c r="F152" i="126"/>
  <c r="F151" i="126"/>
  <c r="F150" i="126"/>
  <c r="F149" i="126"/>
  <c r="F148" i="126"/>
  <c r="F147" i="126"/>
  <c r="F146" i="126"/>
  <c r="F145" i="126"/>
  <c r="F144" i="126"/>
  <c r="F143" i="126"/>
  <c r="F142" i="126"/>
  <c r="F141" i="126"/>
  <c r="F140" i="126"/>
  <c r="F139" i="126"/>
  <c r="F138" i="126"/>
  <c r="F137" i="126"/>
  <c r="F136" i="126"/>
  <c r="F135" i="126"/>
  <c r="F134" i="126"/>
  <c r="F133" i="126"/>
  <c r="F132" i="126"/>
  <c r="F131" i="126"/>
  <c r="F130" i="126"/>
  <c r="F129" i="126"/>
  <c r="F128" i="126"/>
  <c r="F127" i="126"/>
  <c r="F126" i="126"/>
  <c r="F125" i="126"/>
  <c r="F124" i="126"/>
  <c r="F123" i="126"/>
  <c r="F122" i="126"/>
  <c r="F121" i="126"/>
  <c r="F120" i="126"/>
  <c r="F119" i="126"/>
  <c r="F118" i="126"/>
  <c r="F117" i="126"/>
  <c r="F116" i="126"/>
  <c r="F115" i="126"/>
  <c r="F114" i="126"/>
  <c r="F113" i="126"/>
  <c r="F112" i="126"/>
  <c r="F111" i="126"/>
  <c r="F110" i="126"/>
  <c r="F109" i="126"/>
  <c r="F108" i="126"/>
  <c r="F107" i="126"/>
  <c r="F106" i="126"/>
  <c r="F105" i="126"/>
  <c r="F104" i="126"/>
  <c r="F103" i="126"/>
  <c r="F102" i="126"/>
  <c r="F101" i="126"/>
  <c r="F100" i="126"/>
  <c r="F99" i="126"/>
  <c r="F98" i="126"/>
  <c r="F97" i="126"/>
  <c r="F96" i="126"/>
  <c r="F95" i="126"/>
  <c r="F94" i="126"/>
  <c r="F93" i="126"/>
  <c r="F92" i="126"/>
  <c r="F91" i="126"/>
  <c r="F90" i="126"/>
  <c r="F89" i="126"/>
  <c r="F88" i="126"/>
  <c r="F87" i="126"/>
  <c r="F86" i="126"/>
  <c r="F85" i="126"/>
  <c r="F84" i="126"/>
  <c r="F83" i="126"/>
  <c r="F81" i="126"/>
  <c r="F80" i="126"/>
  <c r="F79" i="126"/>
  <c r="F78" i="126"/>
  <c r="F77" i="126"/>
  <c r="F76" i="126"/>
  <c r="F75" i="126"/>
  <c r="F74" i="126"/>
  <c r="F73" i="126"/>
  <c r="F72" i="126"/>
  <c r="F71" i="126"/>
  <c r="F70" i="126"/>
  <c r="F69" i="126"/>
  <c r="F68" i="126"/>
  <c r="F67" i="126"/>
  <c r="F66" i="126"/>
  <c r="F65" i="126"/>
  <c r="F64" i="126"/>
  <c r="F63" i="126"/>
  <c r="F62" i="126"/>
  <c r="F61" i="126"/>
  <c r="F60" i="126"/>
  <c r="F59" i="126"/>
  <c r="F58" i="126"/>
  <c r="F57" i="126"/>
  <c r="F56" i="126"/>
  <c r="F55" i="126"/>
  <c r="F54" i="126"/>
  <c r="F53" i="126"/>
  <c r="F52" i="126"/>
  <c r="F51" i="126"/>
  <c r="F50" i="126"/>
  <c r="F49" i="126"/>
  <c r="F48" i="126"/>
  <c r="F47" i="126"/>
  <c r="F46" i="126"/>
  <c r="F45" i="126"/>
  <c r="F44" i="126"/>
  <c r="F43" i="126"/>
  <c r="F42" i="126"/>
  <c r="F41" i="126"/>
  <c r="F40" i="126"/>
  <c r="F39" i="126"/>
  <c r="F38" i="126"/>
  <c r="F37" i="126"/>
  <c r="F36" i="126"/>
  <c r="F35" i="126"/>
  <c r="F34" i="126"/>
  <c r="F33" i="126"/>
  <c r="F32" i="126"/>
  <c r="F31" i="126"/>
  <c r="F30" i="126"/>
  <c r="F29" i="126"/>
  <c r="F28" i="126"/>
  <c r="F27" i="126"/>
  <c r="F26" i="126"/>
  <c r="F25" i="126"/>
  <c r="F24" i="126"/>
  <c r="F23" i="126"/>
  <c r="F22" i="126"/>
  <c r="F21" i="126"/>
  <c r="F20" i="126"/>
  <c r="F19" i="126"/>
  <c r="F18" i="126"/>
  <c r="F17" i="126"/>
  <c r="F16" i="126"/>
  <c r="F15" i="126"/>
  <c r="F14" i="126"/>
  <c r="F13" i="126"/>
  <c r="F12" i="126"/>
  <c r="F11" i="126"/>
  <c r="F10" i="126"/>
  <c r="F9" i="126"/>
  <c r="F8" i="126"/>
  <c r="F7" i="126"/>
  <c r="F6" i="126"/>
  <c r="F5" i="126"/>
  <c r="F4" i="126"/>
  <c r="F3" i="126"/>
  <c r="F2" i="126"/>
  <c r="M3" i="125" l="1"/>
  <c r="C126" i="125"/>
  <c r="C125" i="125"/>
  <c r="C124" i="125"/>
  <c r="C123" i="125"/>
  <c r="C122" i="125"/>
  <c r="C121" i="125"/>
  <c r="C120" i="125"/>
  <c r="C119" i="125"/>
  <c r="C118" i="125"/>
  <c r="C117" i="125"/>
  <c r="C116" i="125"/>
  <c r="C115" i="125"/>
  <c r="C114" i="125"/>
  <c r="C113" i="125"/>
  <c r="C112" i="125"/>
  <c r="C111" i="125"/>
  <c r="C110" i="125"/>
  <c r="C109" i="125"/>
  <c r="C108" i="125"/>
  <c r="C107" i="125"/>
  <c r="C106" i="125"/>
  <c r="C105" i="125"/>
  <c r="C104" i="125"/>
  <c r="C103" i="125"/>
  <c r="C102" i="125"/>
  <c r="C101" i="125"/>
  <c r="C100" i="125"/>
  <c r="C99" i="125"/>
  <c r="C98" i="125"/>
  <c r="C97" i="125"/>
  <c r="C96" i="125"/>
  <c r="C95" i="125"/>
  <c r="C94" i="125"/>
  <c r="C93" i="125"/>
  <c r="C92" i="125"/>
  <c r="C91" i="125"/>
  <c r="C90" i="125"/>
  <c r="C89" i="125"/>
  <c r="C88" i="125"/>
  <c r="C87" i="125"/>
  <c r="C86" i="125"/>
  <c r="C85" i="125"/>
  <c r="C84" i="125"/>
  <c r="C83" i="125"/>
  <c r="C82" i="125"/>
  <c r="C81" i="125"/>
  <c r="C80" i="125"/>
  <c r="C79" i="125"/>
  <c r="C78" i="125"/>
  <c r="C77" i="125"/>
  <c r="C76" i="125"/>
  <c r="C75" i="125"/>
  <c r="C74" i="125"/>
  <c r="C73" i="125"/>
  <c r="C72" i="125"/>
  <c r="C71" i="125"/>
  <c r="C70" i="125"/>
  <c r="C69" i="125"/>
  <c r="C68" i="125"/>
  <c r="C67" i="125"/>
  <c r="C66" i="125"/>
  <c r="C65" i="125"/>
  <c r="C64" i="125"/>
  <c r="C63" i="125"/>
  <c r="C62" i="125"/>
  <c r="C61" i="125"/>
  <c r="C60" i="125"/>
  <c r="C59" i="125"/>
  <c r="C58" i="125"/>
  <c r="C57" i="125"/>
  <c r="C56" i="125"/>
  <c r="C55" i="125"/>
  <c r="C54" i="125"/>
  <c r="C53" i="125"/>
  <c r="C52" i="125"/>
  <c r="C51" i="125"/>
  <c r="C50" i="125"/>
  <c r="C49" i="125"/>
  <c r="C48" i="125"/>
  <c r="C47" i="125"/>
  <c r="C46" i="125"/>
  <c r="C45" i="125"/>
  <c r="C44" i="125"/>
  <c r="C43" i="125"/>
  <c r="C42" i="125"/>
  <c r="C41" i="125"/>
  <c r="C40" i="125"/>
  <c r="C39" i="125"/>
  <c r="C38" i="125"/>
  <c r="C37" i="125"/>
  <c r="C36" i="125"/>
  <c r="C35" i="125"/>
  <c r="C34" i="125"/>
  <c r="C33" i="125"/>
  <c r="C32" i="125"/>
  <c r="C31" i="125"/>
  <c r="C30" i="125"/>
  <c r="C29" i="125"/>
  <c r="C28" i="125"/>
  <c r="C27" i="125"/>
  <c r="C26" i="125"/>
  <c r="C22" i="125"/>
  <c r="D22" i="125" s="1"/>
  <c r="C21" i="125"/>
  <c r="D21" i="125" s="1"/>
  <c r="C20" i="125"/>
  <c r="D20" i="125" s="1"/>
  <c r="C19" i="125"/>
  <c r="D19" i="125" s="1"/>
  <c r="C18" i="125"/>
  <c r="D18" i="125" s="1"/>
  <c r="C17" i="125"/>
  <c r="D17" i="125" s="1"/>
  <c r="C16" i="125"/>
  <c r="D16" i="125" s="1"/>
  <c r="C15" i="125"/>
  <c r="D15" i="125" s="1"/>
  <c r="C14" i="125"/>
  <c r="D14" i="125" s="1"/>
  <c r="C13" i="125"/>
  <c r="D13" i="125" s="1"/>
  <c r="C12" i="125"/>
  <c r="D12" i="125" s="1"/>
  <c r="C11" i="125"/>
  <c r="D11" i="125" s="1"/>
  <c r="C10" i="125"/>
  <c r="D10" i="125" s="1"/>
  <c r="C9" i="125"/>
  <c r="D9" i="125" s="1"/>
  <c r="C8" i="125"/>
  <c r="D8" i="125" s="1"/>
  <c r="C7" i="125"/>
  <c r="D7" i="125" s="1"/>
  <c r="C6" i="125"/>
  <c r="D6" i="125" s="1"/>
  <c r="C5" i="125"/>
  <c r="D5" i="125" s="1"/>
  <c r="C4" i="125"/>
  <c r="D4" i="125" s="1"/>
  <c r="C3" i="125"/>
  <c r="D3" i="125" s="1"/>
  <c r="C2" i="125"/>
  <c r="D2" i="125" s="1"/>
  <c r="D23" i="125" l="1"/>
  <c r="M3" i="111" l="1"/>
  <c r="C125" i="111"/>
  <c r="C124" i="111"/>
  <c r="C123" i="111"/>
  <c r="C122" i="111"/>
  <c r="C121" i="111"/>
  <c r="C120" i="111"/>
  <c r="C119" i="111"/>
  <c r="C118" i="111"/>
  <c r="C117" i="111"/>
  <c r="C116" i="111"/>
  <c r="C115" i="111"/>
  <c r="C114" i="111"/>
  <c r="C113" i="111"/>
  <c r="C112" i="111"/>
  <c r="C111" i="111"/>
  <c r="C110" i="111"/>
  <c r="C109" i="111"/>
  <c r="C108" i="111"/>
  <c r="C107" i="111"/>
  <c r="C106" i="111"/>
  <c r="C105" i="111"/>
  <c r="C104" i="111"/>
  <c r="C103" i="111"/>
  <c r="C102" i="111"/>
  <c r="C101" i="111"/>
  <c r="C100" i="111"/>
  <c r="C99" i="111"/>
  <c r="C98" i="111"/>
  <c r="C97" i="111"/>
  <c r="C96" i="111"/>
  <c r="C95" i="111"/>
  <c r="C94" i="111"/>
  <c r="C93" i="111"/>
  <c r="C92" i="111"/>
  <c r="C91" i="111"/>
  <c r="C90" i="111"/>
  <c r="C89" i="111"/>
  <c r="C88" i="111"/>
  <c r="C87" i="111"/>
  <c r="C86" i="111"/>
  <c r="C85" i="111"/>
  <c r="C84" i="111"/>
  <c r="C83" i="111"/>
  <c r="C82" i="111"/>
  <c r="C81" i="111"/>
  <c r="C80" i="111"/>
  <c r="C79" i="111"/>
  <c r="C78" i="111"/>
  <c r="C77" i="111"/>
  <c r="C76" i="111"/>
  <c r="C75" i="111"/>
  <c r="C74" i="111"/>
  <c r="C73" i="111"/>
  <c r="C72" i="111"/>
  <c r="C71" i="111"/>
  <c r="C70" i="111"/>
  <c r="C69" i="111"/>
  <c r="C68" i="111"/>
  <c r="C67" i="111"/>
  <c r="C66" i="111"/>
  <c r="C65" i="111"/>
  <c r="C64" i="111"/>
  <c r="C63" i="111"/>
  <c r="C62" i="111"/>
  <c r="C61" i="111"/>
  <c r="C60" i="111"/>
  <c r="C59" i="111"/>
  <c r="C58" i="111"/>
  <c r="C57" i="111"/>
  <c r="C56" i="111"/>
  <c r="C55" i="111"/>
  <c r="C54" i="111"/>
  <c r="C53" i="111"/>
  <c r="C52" i="111"/>
  <c r="C51" i="111"/>
  <c r="C50" i="111"/>
  <c r="C49" i="111"/>
  <c r="C48" i="111"/>
  <c r="C47" i="111"/>
  <c r="C46" i="111"/>
  <c r="C45" i="111"/>
  <c r="C44" i="111"/>
  <c r="C43" i="111"/>
  <c r="C42" i="111"/>
  <c r="C41" i="111"/>
  <c r="C40" i="111"/>
  <c r="C39" i="111"/>
  <c r="C38" i="111"/>
  <c r="C37" i="111"/>
  <c r="C36" i="111"/>
  <c r="C35" i="111"/>
  <c r="C34" i="111"/>
  <c r="C33" i="111"/>
  <c r="C32" i="111"/>
  <c r="C31" i="111"/>
  <c r="C30" i="111"/>
  <c r="C29" i="111"/>
  <c r="C28" i="111"/>
  <c r="C27" i="111"/>
  <c r="C26" i="111"/>
  <c r="C25" i="111"/>
  <c r="C21" i="111"/>
  <c r="D21" i="111" s="1"/>
  <c r="C20" i="111"/>
  <c r="D20" i="111" s="1"/>
  <c r="C19" i="111"/>
  <c r="D19" i="111" s="1"/>
  <c r="C18" i="111"/>
  <c r="D18" i="111" s="1"/>
  <c r="C17" i="111"/>
  <c r="D17" i="111" s="1"/>
  <c r="C16" i="111"/>
  <c r="D16" i="111" s="1"/>
  <c r="C15" i="111"/>
  <c r="D15" i="111" s="1"/>
  <c r="C14" i="111"/>
  <c r="D14" i="111" s="1"/>
  <c r="C13" i="111"/>
  <c r="D13" i="111" s="1"/>
  <c r="C12" i="111"/>
  <c r="D12" i="111" s="1"/>
  <c r="C11" i="111"/>
  <c r="D11" i="111" s="1"/>
  <c r="C10" i="111"/>
  <c r="D10" i="111" s="1"/>
  <c r="C9" i="111"/>
  <c r="D9" i="111" s="1"/>
  <c r="C8" i="111"/>
  <c r="D8" i="111" s="1"/>
  <c r="C7" i="111"/>
  <c r="D7" i="111" s="1"/>
  <c r="C6" i="111"/>
  <c r="D6" i="111" s="1"/>
  <c r="C5" i="111"/>
  <c r="D5" i="111" s="1"/>
  <c r="C4" i="111"/>
  <c r="D4" i="111" s="1"/>
  <c r="C3" i="111"/>
  <c r="D3" i="111" s="1"/>
  <c r="C2" i="111"/>
  <c r="D2" i="111" s="1"/>
  <c r="M3" i="105"/>
  <c r="C126" i="105"/>
  <c r="C125" i="105"/>
  <c r="C124" i="105"/>
  <c r="C123" i="105"/>
  <c r="C122" i="105"/>
  <c r="C121" i="105"/>
  <c r="C120" i="105"/>
  <c r="C119" i="105"/>
  <c r="C118" i="105"/>
  <c r="C117" i="105"/>
  <c r="C116" i="105"/>
  <c r="C115" i="105"/>
  <c r="C114" i="105"/>
  <c r="C113" i="105"/>
  <c r="C112" i="105"/>
  <c r="C111" i="105"/>
  <c r="C110" i="105"/>
  <c r="C109" i="105"/>
  <c r="C108" i="105"/>
  <c r="C107" i="105"/>
  <c r="C106" i="105"/>
  <c r="C105" i="105"/>
  <c r="C104" i="105"/>
  <c r="C103" i="105"/>
  <c r="C102" i="105"/>
  <c r="C101" i="105"/>
  <c r="C100" i="105"/>
  <c r="C99" i="105"/>
  <c r="C98" i="105"/>
  <c r="C97" i="105"/>
  <c r="C96" i="105"/>
  <c r="C95" i="105"/>
  <c r="C94" i="105"/>
  <c r="C93" i="105"/>
  <c r="C92" i="105"/>
  <c r="C91" i="105"/>
  <c r="C90" i="105"/>
  <c r="C89" i="105"/>
  <c r="C88" i="105"/>
  <c r="C87" i="105"/>
  <c r="C86" i="105"/>
  <c r="C85" i="105"/>
  <c r="C84" i="105"/>
  <c r="C83" i="105"/>
  <c r="C82" i="105"/>
  <c r="C81" i="105"/>
  <c r="C80" i="105"/>
  <c r="C79" i="105"/>
  <c r="C78" i="105"/>
  <c r="C77" i="105"/>
  <c r="C76" i="105"/>
  <c r="C75" i="105"/>
  <c r="C74" i="105"/>
  <c r="C73" i="105"/>
  <c r="C72" i="105"/>
  <c r="C71" i="105"/>
  <c r="C70" i="105"/>
  <c r="C69" i="105"/>
  <c r="C68" i="105"/>
  <c r="C67" i="105"/>
  <c r="C66" i="105"/>
  <c r="C65" i="105"/>
  <c r="C64" i="105"/>
  <c r="C63" i="105"/>
  <c r="C62" i="105"/>
  <c r="C61" i="105"/>
  <c r="C60" i="105"/>
  <c r="C59" i="105"/>
  <c r="C58" i="105"/>
  <c r="C57" i="105"/>
  <c r="C56" i="105"/>
  <c r="C55" i="105"/>
  <c r="C54" i="105"/>
  <c r="C53" i="105"/>
  <c r="C52" i="105"/>
  <c r="C51" i="105"/>
  <c r="C50" i="105"/>
  <c r="C49" i="105"/>
  <c r="C48" i="105"/>
  <c r="C47" i="105"/>
  <c r="C46" i="105"/>
  <c r="C45" i="105"/>
  <c r="C44" i="105"/>
  <c r="C43" i="105"/>
  <c r="C42" i="105"/>
  <c r="C41" i="105"/>
  <c r="C40" i="105"/>
  <c r="C39" i="105"/>
  <c r="C38" i="105"/>
  <c r="C37" i="105"/>
  <c r="C36" i="105"/>
  <c r="C35" i="105"/>
  <c r="C34" i="105"/>
  <c r="C33" i="105"/>
  <c r="C32" i="105"/>
  <c r="C31" i="105"/>
  <c r="C30" i="105"/>
  <c r="C29" i="105"/>
  <c r="C28" i="105"/>
  <c r="C27" i="105"/>
  <c r="C26" i="105"/>
  <c r="C22" i="105"/>
  <c r="D22" i="105" s="1"/>
  <c r="C21" i="105"/>
  <c r="D21" i="105" s="1"/>
  <c r="C20" i="105"/>
  <c r="D20" i="105" s="1"/>
  <c r="C19" i="105"/>
  <c r="D19" i="105" s="1"/>
  <c r="C18" i="105"/>
  <c r="D18" i="105" s="1"/>
  <c r="C17" i="105"/>
  <c r="D17" i="105" s="1"/>
  <c r="C16" i="105"/>
  <c r="D16" i="105" s="1"/>
  <c r="C15" i="105"/>
  <c r="D15" i="105" s="1"/>
  <c r="C14" i="105"/>
  <c r="D14" i="105" s="1"/>
  <c r="C13" i="105"/>
  <c r="D13" i="105" s="1"/>
  <c r="C12" i="105"/>
  <c r="D12" i="105" s="1"/>
  <c r="C11" i="105"/>
  <c r="D11" i="105" s="1"/>
  <c r="C10" i="105"/>
  <c r="D10" i="105" s="1"/>
  <c r="C9" i="105"/>
  <c r="D9" i="105" s="1"/>
  <c r="C8" i="105"/>
  <c r="D8" i="105" s="1"/>
  <c r="C7" i="105"/>
  <c r="D7" i="105" s="1"/>
  <c r="C6" i="105"/>
  <c r="D6" i="105" s="1"/>
  <c r="C5" i="105"/>
  <c r="D5" i="105" s="1"/>
  <c r="C4" i="105"/>
  <c r="D4" i="105" s="1"/>
  <c r="C3" i="105"/>
  <c r="D3" i="105" s="1"/>
  <c r="C2" i="105"/>
  <c r="D2" i="105" s="1"/>
  <c r="D22" i="111" l="1"/>
  <c r="D23" i="105"/>
  <c r="M3" i="101" l="1"/>
  <c r="C126" i="101"/>
  <c r="C125" i="101"/>
  <c r="C124" i="101"/>
  <c r="C123" i="101"/>
  <c r="C122" i="101"/>
  <c r="C121" i="101"/>
  <c r="C120" i="101"/>
  <c r="C119" i="101"/>
  <c r="C118" i="101"/>
  <c r="C117" i="101"/>
  <c r="C116" i="101"/>
  <c r="C115" i="101"/>
  <c r="C114" i="101"/>
  <c r="C113" i="101"/>
  <c r="C112" i="101"/>
  <c r="C111" i="101"/>
  <c r="C110" i="101"/>
  <c r="C109" i="101"/>
  <c r="C108" i="101"/>
  <c r="C107" i="101"/>
  <c r="C106" i="101"/>
  <c r="C105" i="101"/>
  <c r="C104" i="101"/>
  <c r="C103" i="101"/>
  <c r="C102" i="101"/>
  <c r="C101" i="101"/>
  <c r="C100" i="101"/>
  <c r="C99" i="101"/>
  <c r="C98" i="101"/>
  <c r="C97" i="101"/>
  <c r="C96" i="101"/>
  <c r="C95" i="101"/>
  <c r="C94" i="101"/>
  <c r="C93" i="101"/>
  <c r="C92" i="101"/>
  <c r="C91" i="101"/>
  <c r="C90" i="101"/>
  <c r="C89" i="101"/>
  <c r="C88" i="101"/>
  <c r="C87" i="101"/>
  <c r="C86" i="101"/>
  <c r="C85" i="101"/>
  <c r="C84" i="101"/>
  <c r="C83" i="101"/>
  <c r="C82" i="101"/>
  <c r="C81" i="101"/>
  <c r="C80" i="101"/>
  <c r="C79" i="101"/>
  <c r="C78" i="101"/>
  <c r="C77" i="101"/>
  <c r="C76" i="101"/>
  <c r="C75" i="101"/>
  <c r="C74" i="101"/>
  <c r="C73" i="101"/>
  <c r="C72" i="101"/>
  <c r="C71" i="101"/>
  <c r="C70" i="101"/>
  <c r="C69" i="101"/>
  <c r="C68" i="101"/>
  <c r="C67" i="101"/>
  <c r="C66" i="101"/>
  <c r="C65" i="101"/>
  <c r="C64" i="101"/>
  <c r="C63" i="101"/>
  <c r="C62" i="101"/>
  <c r="C61" i="101"/>
  <c r="C60" i="101"/>
  <c r="C59" i="101"/>
  <c r="C58" i="101"/>
  <c r="C57" i="101"/>
  <c r="C56" i="101"/>
  <c r="C55" i="101"/>
  <c r="C54" i="101"/>
  <c r="C53" i="101"/>
  <c r="C52" i="101"/>
  <c r="C51" i="101"/>
  <c r="C50" i="101"/>
  <c r="C49" i="101"/>
  <c r="C48" i="101"/>
  <c r="C47" i="101"/>
  <c r="C46" i="101"/>
  <c r="C45" i="101"/>
  <c r="C44" i="101"/>
  <c r="C43" i="101"/>
  <c r="C42" i="101"/>
  <c r="C41" i="101"/>
  <c r="C40" i="101"/>
  <c r="C39" i="101"/>
  <c r="C38" i="101"/>
  <c r="C37" i="101"/>
  <c r="C36" i="101"/>
  <c r="C35" i="101"/>
  <c r="C34" i="101"/>
  <c r="C33" i="101"/>
  <c r="C32" i="101"/>
  <c r="C31" i="101"/>
  <c r="C30" i="101"/>
  <c r="C29" i="101"/>
  <c r="C28" i="101"/>
  <c r="C27" i="101"/>
  <c r="C26" i="101"/>
  <c r="C22" i="101"/>
  <c r="D22" i="101" s="1"/>
  <c r="C21" i="101"/>
  <c r="D21" i="101" s="1"/>
  <c r="C20" i="101"/>
  <c r="D20" i="101" s="1"/>
  <c r="C19" i="101"/>
  <c r="D19" i="101" s="1"/>
  <c r="C18" i="101"/>
  <c r="D18" i="101" s="1"/>
  <c r="C17" i="101"/>
  <c r="D17" i="101" s="1"/>
  <c r="C16" i="101"/>
  <c r="D16" i="101" s="1"/>
  <c r="C15" i="101"/>
  <c r="D15" i="101" s="1"/>
  <c r="C14" i="101"/>
  <c r="D14" i="101" s="1"/>
  <c r="C13" i="101"/>
  <c r="D13" i="101" s="1"/>
  <c r="C12" i="101"/>
  <c r="D12" i="101" s="1"/>
  <c r="C11" i="101"/>
  <c r="D11" i="101" s="1"/>
  <c r="C10" i="101"/>
  <c r="D10" i="101" s="1"/>
  <c r="C9" i="101"/>
  <c r="D9" i="101" s="1"/>
  <c r="C8" i="101"/>
  <c r="D8" i="101" s="1"/>
  <c r="C7" i="101"/>
  <c r="D7" i="101" s="1"/>
  <c r="C6" i="101"/>
  <c r="D6" i="101" s="1"/>
  <c r="C5" i="101"/>
  <c r="D5" i="101" s="1"/>
  <c r="C4" i="101"/>
  <c r="D4" i="101" s="1"/>
  <c r="C3" i="101"/>
  <c r="D3" i="101" s="1"/>
  <c r="C2" i="101"/>
  <c r="D2" i="101" s="1"/>
  <c r="D23" i="101" l="1"/>
  <c r="M3" i="85" l="1"/>
  <c r="C126" i="85"/>
  <c r="C125" i="85"/>
  <c r="C124" i="85"/>
  <c r="C123" i="85"/>
  <c r="C122" i="85"/>
  <c r="C121" i="85"/>
  <c r="C120" i="85"/>
  <c r="C119" i="85"/>
  <c r="C118" i="85"/>
  <c r="C117" i="85"/>
  <c r="C116" i="85"/>
  <c r="C115" i="85"/>
  <c r="C114" i="85"/>
  <c r="C113" i="85"/>
  <c r="C112" i="85"/>
  <c r="C111" i="85"/>
  <c r="C110" i="85"/>
  <c r="C109" i="85"/>
  <c r="C108" i="85"/>
  <c r="C107" i="85"/>
  <c r="C106" i="85"/>
  <c r="C105" i="85"/>
  <c r="C104" i="85"/>
  <c r="C103" i="85"/>
  <c r="C102" i="85"/>
  <c r="C101" i="85"/>
  <c r="C100" i="85"/>
  <c r="C99" i="85"/>
  <c r="C98" i="85"/>
  <c r="C97" i="85"/>
  <c r="C96" i="85"/>
  <c r="C95" i="85"/>
  <c r="C94" i="85"/>
  <c r="C93" i="85"/>
  <c r="C92" i="85"/>
  <c r="C91" i="85"/>
  <c r="C90" i="85"/>
  <c r="C89" i="85"/>
  <c r="C88" i="85"/>
  <c r="C87" i="85"/>
  <c r="C86" i="85"/>
  <c r="C85" i="85"/>
  <c r="C84" i="85"/>
  <c r="C83" i="85"/>
  <c r="C82" i="85"/>
  <c r="C81" i="85"/>
  <c r="C80" i="85"/>
  <c r="C79" i="85"/>
  <c r="C78" i="85"/>
  <c r="C77" i="85"/>
  <c r="C76" i="85"/>
  <c r="C75" i="85"/>
  <c r="C74" i="85"/>
  <c r="C73" i="85"/>
  <c r="C72" i="85"/>
  <c r="C71" i="85"/>
  <c r="C70" i="85"/>
  <c r="C69" i="85"/>
  <c r="C68" i="85"/>
  <c r="C67" i="85"/>
  <c r="C66" i="85"/>
  <c r="C65" i="85"/>
  <c r="C64" i="85"/>
  <c r="C63" i="85"/>
  <c r="C62" i="85"/>
  <c r="C61" i="85"/>
  <c r="C60" i="85"/>
  <c r="C59" i="85"/>
  <c r="C58" i="85"/>
  <c r="C57" i="85"/>
  <c r="C56" i="85"/>
  <c r="C55" i="85"/>
  <c r="C54" i="85"/>
  <c r="C53" i="85"/>
  <c r="C52" i="85"/>
  <c r="C51" i="85"/>
  <c r="C50" i="85"/>
  <c r="C49" i="85"/>
  <c r="C48" i="85"/>
  <c r="C47" i="85"/>
  <c r="C46" i="85"/>
  <c r="C45" i="85"/>
  <c r="C44" i="85"/>
  <c r="C43" i="85"/>
  <c r="C42" i="85"/>
  <c r="C41" i="85"/>
  <c r="C40" i="85"/>
  <c r="C39" i="85"/>
  <c r="C38" i="85"/>
  <c r="C37" i="85"/>
  <c r="C36" i="85"/>
  <c r="C35" i="85"/>
  <c r="C34" i="85"/>
  <c r="C33" i="85"/>
  <c r="C32" i="85"/>
  <c r="C31" i="85"/>
  <c r="C30" i="85"/>
  <c r="C29" i="85"/>
  <c r="C28" i="85"/>
  <c r="C27" i="85"/>
  <c r="C26" i="85"/>
  <c r="C22" i="85"/>
  <c r="D22" i="85" s="1"/>
  <c r="C21" i="85"/>
  <c r="D21" i="85" s="1"/>
  <c r="C20" i="85"/>
  <c r="D20" i="85" s="1"/>
  <c r="C19" i="85"/>
  <c r="D19" i="85" s="1"/>
  <c r="C18" i="85"/>
  <c r="D18" i="85" s="1"/>
  <c r="C17" i="85"/>
  <c r="D17" i="85" s="1"/>
  <c r="C16" i="85"/>
  <c r="D16" i="85" s="1"/>
  <c r="C15" i="85"/>
  <c r="D15" i="85" s="1"/>
  <c r="C14" i="85"/>
  <c r="D14" i="85" s="1"/>
  <c r="C13" i="85"/>
  <c r="D13" i="85" s="1"/>
  <c r="C12" i="85"/>
  <c r="D12" i="85" s="1"/>
  <c r="C11" i="85"/>
  <c r="D11" i="85" s="1"/>
  <c r="C10" i="85"/>
  <c r="D10" i="85" s="1"/>
  <c r="C9" i="85"/>
  <c r="D9" i="85" s="1"/>
  <c r="C8" i="85"/>
  <c r="D8" i="85" s="1"/>
  <c r="C7" i="85"/>
  <c r="D7" i="85" s="1"/>
  <c r="C6" i="85"/>
  <c r="D6" i="85" s="1"/>
  <c r="C5" i="85"/>
  <c r="D5" i="85" s="1"/>
  <c r="C4" i="85"/>
  <c r="D4" i="85" s="1"/>
  <c r="C3" i="85"/>
  <c r="D3" i="85" s="1"/>
  <c r="C2" i="85"/>
  <c r="D2" i="85" s="1"/>
  <c r="F22" i="79"/>
  <c r="F15" i="79"/>
  <c r="F8" i="79"/>
  <c r="F21" i="79"/>
  <c r="F14" i="79"/>
  <c r="F7" i="79"/>
  <c r="F20" i="79"/>
  <c r="F13" i="79"/>
  <c r="F6" i="79"/>
  <c r="F19" i="79"/>
  <c r="F12" i="79"/>
  <c r="F5" i="79"/>
  <c r="F18" i="79"/>
  <c r="F11" i="79"/>
  <c r="F4" i="79"/>
  <c r="F17" i="79"/>
  <c r="F10" i="79"/>
  <c r="F3" i="79"/>
  <c r="F16" i="79"/>
  <c r="F9" i="79"/>
  <c r="F2" i="79"/>
  <c r="F22" i="80"/>
  <c r="F15" i="80"/>
  <c r="F8" i="80"/>
  <c r="F21" i="80"/>
  <c r="F14" i="80"/>
  <c r="F7" i="80"/>
  <c r="F20" i="80"/>
  <c r="F13" i="80"/>
  <c r="F6" i="80"/>
  <c r="F19" i="80"/>
  <c r="F12" i="80"/>
  <c r="F5" i="80"/>
  <c r="F18" i="80"/>
  <c r="F11" i="80"/>
  <c r="F4" i="80"/>
  <c r="F17" i="80"/>
  <c r="F10" i="80"/>
  <c r="F3" i="80"/>
  <c r="F16" i="80"/>
  <c r="F9" i="80"/>
  <c r="F2" i="80"/>
  <c r="F2" i="65"/>
  <c r="F3" i="65"/>
  <c r="F4" i="65"/>
  <c r="F5" i="65"/>
  <c r="F6" i="65"/>
  <c r="F7" i="65"/>
  <c r="F8" i="65"/>
  <c r="F9" i="65"/>
  <c r="F10" i="65"/>
  <c r="F11" i="65"/>
  <c r="F12" i="65"/>
  <c r="F13" i="65"/>
  <c r="F14" i="65"/>
  <c r="F15" i="65"/>
  <c r="F16" i="65"/>
  <c r="F17" i="65"/>
  <c r="F18" i="65"/>
  <c r="F19" i="65"/>
  <c r="F20" i="65"/>
  <c r="F21" i="65"/>
  <c r="F22" i="65"/>
  <c r="F22" i="66"/>
  <c r="F15" i="66"/>
  <c r="F8" i="66"/>
  <c r="F21" i="66"/>
  <c r="F14" i="66"/>
  <c r="F7" i="66"/>
  <c r="F20" i="66"/>
  <c r="F13" i="66"/>
  <c r="F6" i="66"/>
  <c r="F19" i="66"/>
  <c r="F12" i="66"/>
  <c r="F5" i="66"/>
  <c r="F18" i="66"/>
  <c r="F11" i="66"/>
  <c r="F4" i="66"/>
  <c r="F17" i="66"/>
  <c r="F10" i="66"/>
  <c r="F3" i="66"/>
  <c r="F16" i="66"/>
  <c r="F9" i="66"/>
  <c r="F2" i="66"/>
  <c r="M3" i="63"/>
  <c r="C126" i="63"/>
  <c r="C125" i="63"/>
  <c r="C124" i="63"/>
  <c r="C123" i="63"/>
  <c r="C122" i="63"/>
  <c r="C121" i="63"/>
  <c r="C120" i="63"/>
  <c r="C119" i="63"/>
  <c r="C118" i="63"/>
  <c r="C117" i="63"/>
  <c r="C116" i="63"/>
  <c r="C115" i="63"/>
  <c r="C114" i="63"/>
  <c r="C113" i="63"/>
  <c r="C112" i="63"/>
  <c r="C111" i="63"/>
  <c r="C110" i="63"/>
  <c r="C109" i="63"/>
  <c r="C108" i="63"/>
  <c r="C107" i="63"/>
  <c r="C106" i="63"/>
  <c r="C105" i="63"/>
  <c r="C104" i="63"/>
  <c r="C103" i="63"/>
  <c r="C102" i="63"/>
  <c r="C101" i="63"/>
  <c r="C100" i="63"/>
  <c r="C99" i="63"/>
  <c r="C98" i="63"/>
  <c r="C97" i="63"/>
  <c r="C96" i="63"/>
  <c r="C95" i="63"/>
  <c r="C94" i="63"/>
  <c r="C93" i="63"/>
  <c r="C92" i="63"/>
  <c r="C91" i="63"/>
  <c r="C90" i="63"/>
  <c r="C89" i="63"/>
  <c r="C88" i="63"/>
  <c r="C87" i="63"/>
  <c r="C86" i="63"/>
  <c r="C85" i="63"/>
  <c r="C84" i="63"/>
  <c r="C83" i="63"/>
  <c r="C82" i="63"/>
  <c r="C81" i="63"/>
  <c r="C80" i="63"/>
  <c r="C79" i="63"/>
  <c r="C78" i="63"/>
  <c r="C77" i="63"/>
  <c r="C76" i="63"/>
  <c r="C75" i="63"/>
  <c r="C74" i="63"/>
  <c r="C73" i="63"/>
  <c r="C72" i="63"/>
  <c r="C71" i="63"/>
  <c r="C70" i="63"/>
  <c r="C69" i="63"/>
  <c r="C68" i="63"/>
  <c r="C67" i="63"/>
  <c r="C66" i="63"/>
  <c r="C65" i="63"/>
  <c r="C64" i="63"/>
  <c r="C63" i="63"/>
  <c r="C62" i="63"/>
  <c r="C61" i="63"/>
  <c r="C60" i="63"/>
  <c r="C59" i="63"/>
  <c r="C58" i="63"/>
  <c r="C57" i="63"/>
  <c r="C56" i="63"/>
  <c r="C55" i="63"/>
  <c r="C54" i="63"/>
  <c r="C53" i="63"/>
  <c r="C52" i="63"/>
  <c r="C51" i="63"/>
  <c r="C50" i="63"/>
  <c r="C49" i="63"/>
  <c r="C48" i="63"/>
  <c r="C47" i="63"/>
  <c r="C46" i="63"/>
  <c r="C45" i="63"/>
  <c r="C44" i="63"/>
  <c r="C43" i="63"/>
  <c r="C42" i="63"/>
  <c r="C41" i="63"/>
  <c r="C40" i="63"/>
  <c r="C39" i="63"/>
  <c r="C38" i="63"/>
  <c r="C37" i="63"/>
  <c r="C36" i="63"/>
  <c r="C35" i="63"/>
  <c r="C34" i="63"/>
  <c r="C33" i="63"/>
  <c r="C32" i="63"/>
  <c r="C31" i="63"/>
  <c r="C30" i="63"/>
  <c r="C29" i="63"/>
  <c r="C28" i="63"/>
  <c r="C27" i="63"/>
  <c r="C26" i="63"/>
  <c r="C22" i="63"/>
  <c r="D22" i="63" s="1"/>
  <c r="C21" i="63"/>
  <c r="D21" i="63" s="1"/>
  <c r="C20" i="63"/>
  <c r="D20" i="63" s="1"/>
  <c r="C19" i="63"/>
  <c r="D19" i="63" s="1"/>
  <c r="C18" i="63"/>
  <c r="D18" i="63" s="1"/>
  <c r="C17" i="63"/>
  <c r="D17" i="63" s="1"/>
  <c r="C16" i="63"/>
  <c r="D16" i="63" s="1"/>
  <c r="C15" i="63"/>
  <c r="D15" i="63" s="1"/>
  <c r="C14" i="63"/>
  <c r="D14" i="63" s="1"/>
  <c r="C13" i="63"/>
  <c r="D13" i="63" s="1"/>
  <c r="C12" i="63"/>
  <c r="D12" i="63" s="1"/>
  <c r="C11" i="63"/>
  <c r="D11" i="63" s="1"/>
  <c r="C10" i="63"/>
  <c r="D10" i="63" s="1"/>
  <c r="C9" i="63"/>
  <c r="D9" i="63" s="1"/>
  <c r="C8" i="63"/>
  <c r="D8" i="63" s="1"/>
  <c r="C7" i="63"/>
  <c r="D7" i="63" s="1"/>
  <c r="C6" i="63"/>
  <c r="D6" i="63" s="1"/>
  <c r="C5" i="63"/>
  <c r="D5" i="63" s="1"/>
  <c r="C4" i="63"/>
  <c r="D4" i="63" s="1"/>
  <c r="C3" i="63"/>
  <c r="D3" i="63" s="1"/>
  <c r="C2" i="63"/>
  <c r="D2" i="63" s="1"/>
  <c r="F22" i="62"/>
  <c r="F15" i="62"/>
  <c r="F8" i="62"/>
  <c r="F21" i="62"/>
  <c r="F14" i="62"/>
  <c r="F7" i="62"/>
  <c r="F20" i="62"/>
  <c r="F13" i="62"/>
  <c r="F6" i="62"/>
  <c r="F19" i="62"/>
  <c r="F12" i="62"/>
  <c r="F5" i="62"/>
  <c r="F18" i="62"/>
  <c r="F11" i="62"/>
  <c r="F4" i="62"/>
  <c r="F17" i="62"/>
  <c r="F10" i="62"/>
  <c r="F3" i="62"/>
  <c r="F16" i="62"/>
  <c r="F9" i="62"/>
  <c r="F2" i="62"/>
  <c r="M3" i="60"/>
  <c r="C125" i="60"/>
  <c r="C124" i="60"/>
  <c r="C123" i="60"/>
  <c r="C122" i="60"/>
  <c r="C121" i="60"/>
  <c r="C120" i="60"/>
  <c r="C119" i="60"/>
  <c r="C118" i="60"/>
  <c r="C117" i="60"/>
  <c r="C116" i="60"/>
  <c r="C115" i="60"/>
  <c r="C114" i="60"/>
  <c r="C113" i="60"/>
  <c r="C112" i="60"/>
  <c r="C111" i="60"/>
  <c r="C110" i="60"/>
  <c r="C109" i="60"/>
  <c r="C108" i="60"/>
  <c r="C107" i="60"/>
  <c r="C106" i="60"/>
  <c r="C105" i="60"/>
  <c r="C104" i="60"/>
  <c r="C103" i="60"/>
  <c r="C102" i="60"/>
  <c r="C101" i="60"/>
  <c r="C100" i="60"/>
  <c r="C99" i="60"/>
  <c r="C98" i="60"/>
  <c r="C97" i="60"/>
  <c r="C96" i="60"/>
  <c r="C95" i="60"/>
  <c r="C94" i="60"/>
  <c r="C93" i="60"/>
  <c r="C92" i="60"/>
  <c r="C91" i="60"/>
  <c r="C90" i="60"/>
  <c r="C89" i="60"/>
  <c r="C88" i="60"/>
  <c r="C87" i="60"/>
  <c r="C86" i="60"/>
  <c r="C85" i="60"/>
  <c r="C84" i="60"/>
  <c r="C83" i="60"/>
  <c r="C82" i="60"/>
  <c r="C81" i="60"/>
  <c r="C80" i="60"/>
  <c r="C79" i="60"/>
  <c r="C78" i="60"/>
  <c r="C77" i="60"/>
  <c r="C76" i="60"/>
  <c r="C75" i="60"/>
  <c r="C74" i="60"/>
  <c r="C73" i="60"/>
  <c r="C72" i="60"/>
  <c r="C71" i="60"/>
  <c r="C70" i="60"/>
  <c r="C69" i="60"/>
  <c r="C68" i="60"/>
  <c r="C67" i="60"/>
  <c r="C66" i="60"/>
  <c r="C65" i="60"/>
  <c r="C64" i="60"/>
  <c r="C63" i="60"/>
  <c r="C62" i="60"/>
  <c r="C61" i="60"/>
  <c r="C60" i="60"/>
  <c r="C59" i="60"/>
  <c r="C58" i="60"/>
  <c r="C57" i="60"/>
  <c r="C56" i="60"/>
  <c r="C55" i="60"/>
  <c r="C54" i="60"/>
  <c r="C53" i="60"/>
  <c r="C52" i="60"/>
  <c r="C51" i="60"/>
  <c r="C50" i="60"/>
  <c r="C49" i="60"/>
  <c r="C48" i="60"/>
  <c r="C47" i="60"/>
  <c r="C46" i="60"/>
  <c r="C45" i="60"/>
  <c r="C44" i="60"/>
  <c r="C43" i="60"/>
  <c r="C42" i="60"/>
  <c r="C41" i="60"/>
  <c r="C40" i="60"/>
  <c r="C39" i="60"/>
  <c r="C38" i="60"/>
  <c r="C37" i="60"/>
  <c r="C36" i="60"/>
  <c r="C35" i="60"/>
  <c r="C34" i="60"/>
  <c r="C33" i="60"/>
  <c r="C32" i="60"/>
  <c r="C31" i="60"/>
  <c r="C30" i="60"/>
  <c r="C29" i="60"/>
  <c r="C28" i="60"/>
  <c r="C27" i="60"/>
  <c r="C26" i="60"/>
  <c r="C25" i="60"/>
  <c r="C21" i="60"/>
  <c r="D21" i="60" s="1"/>
  <c r="C20" i="60"/>
  <c r="D20" i="60" s="1"/>
  <c r="C19" i="60"/>
  <c r="D19" i="60" s="1"/>
  <c r="C18" i="60"/>
  <c r="D18" i="60" s="1"/>
  <c r="C17" i="60"/>
  <c r="D17" i="60" s="1"/>
  <c r="C16" i="60"/>
  <c r="D16" i="60" s="1"/>
  <c r="C15" i="60"/>
  <c r="D15" i="60" s="1"/>
  <c r="C14" i="60"/>
  <c r="D14" i="60" s="1"/>
  <c r="C13" i="60"/>
  <c r="D13" i="60" s="1"/>
  <c r="C12" i="60"/>
  <c r="D12" i="60" s="1"/>
  <c r="C11" i="60"/>
  <c r="D11" i="60" s="1"/>
  <c r="C10" i="60"/>
  <c r="D10" i="60" s="1"/>
  <c r="C9" i="60"/>
  <c r="D9" i="60" s="1"/>
  <c r="C8" i="60"/>
  <c r="D8" i="60" s="1"/>
  <c r="C7" i="60"/>
  <c r="D7" i="60" s="1"/>
  <c r="C6" i="60"/>
  <c r="D6" i="60" s="1"/>
  <c r="C5" i="60"/>
  <c r="D5" i="60" s="1"/>
  <c r="C4" i="60"/>
  <c r="D4" i="60" s="1"/>
  <c r="C3" i="60"/>
  <c r="D3" i="60" s="1"/>
  <c r="C2" i="60"/>
  <c r="D2" i="60" s="1"/>
  <c r="F21" i="59"/>
  <c r="F15" i="59"/>
  <c r="F8" i="59"/>
  <c r="F20" i="59"/>
  <c r="F14" i="59"/>
  <c r="F7" i="59"/>
  <c r="F19" i="59"/>
  <c r="F13" i="59"/>
  <c r="F6" i="59"/>
  <c r="F12" i="59"/>
  <c r="F5" i="59"/>
  <c r="F18" i="59"/>
  <c r="F11" i="59"/>
  <c r="F4" i="59"/>
  <c r="F17" i="59"/>
  <c r="F10" i="59"/>
  <c r="F3" i="59"/>
  <c r="F16" i="59"/>
  <c r="F9" i="59"/>
  <c r="F2" i="59"/>
  <c r="M3" i="55"/>
  <c r="C126" i="55"/>
  <c r="C125" i="55"/>
  <c r="C124" i="55"/>
  <c r="C123" i="55"/>
  <c r="C122" i="55"/>
  <c r="C121" i="55"/>
  <c r="C120" i="55"/>
  <c r="C119" i="55"/>
  <c r="C118" i="55"/>
  <c r="C117" i="55"/>
  <c r="C116" i="55"/>
  <c r="C115" i="55"/>
  <c r="C114" i="55"/>
  <c r="C113" i="55"/>
  <c r="C112" i="55"/>
  <c r="C111" i="55"/>
  <c r="C110" i="55"/>
  <c r="C109" i="55"/>
  <c r="C108" i="55"/>
  <c r="C107" i="55"/>
  <c r="C106" i="55"/>
  <c r="C105" i="55"/>
  <c r="C104" i="55"/>
  <c r="C103" i="55"/>
  <c r="C102" i="55"/>
  <c r="C101" i="55"/>
  <c r="C100" i="55"/>
  <c r="C99" i="55"/>
  <c r="C98" i="55"/>
  <c r="C97" i="55"/>
  <c r="C96" i="55"/>
  <c r="C95" i="55"/>
  <c r="C94" i="55"/>
  <c r="C93" i="55"/>
  <c r="C92" i="55"/>
  <c r="C91" i="55"/>
  <c r="C90" i="55"/>
  <c r="C89" i="55"/>
  <c r="C88" i="55"/>
  <c r="C87" i="55"/>
  <c r="C86" i="55"/>
  <c r="C85" i="55"/>
  <c r="C84" i="55"/>
  <c r="C83" i="55"/>
  <c r="C82" i="55"/>
  <c r="C81" i="55"/>
  <c r="C80" i="55"/>
  <c r="C79" i="55"/>
  <c r="C78" i="55"/>
  <c r="C77" i="55"/>
  <c r="C76" i="55"/>
  <c r="C75" i="55"/>
  <c r="C74" i="55"/>
  <c r="C73" i="55"/>
  <c r="C72" i="55"/>
  <c r="C71" i="55"/>
  <c r="C70" i="55"/>
  <c r="C69" i="55"/>
  <c r="C68" i="55"/>
  <c r="C67" i="55"/>
  <c r="C66" i="55"/>
  <c r="C65" i="55"/>
  <c r="C64" i="55"/>
  <c r="C63" i="55"/>
  <c r="C62" i="55"/>
  <c r="C61" i="55"/>
  <c r="C60" i="55"/>
  <c r="C59" i="55"/>
  <c r="C58" i="55"/>
  <c r="C57" i="55"/>
  <c r="C56" i="55"/>
  <c r="C55" i="55"/>
  <c r="C54" i="55"/>
  <c r="C53" i="55"/>
  <c r="C52" i="55"/>
  <c r="C51" i="55"/>
  <c r="C50" i="55"/>
  <c r="C49" i="55"/>
  <c r="C48" i="55"/>
  <c r="C47" i="55"/>
  <c r="C46" i="55"/>
  <c r="C45" i="55"/>
  <c r="C44" i="55"/>
  <c r="C43" i="55"/>
  <c r="C42" i="55"/>
  <c r="C41" i="55"/>
  <c r="C40" i="55"/>
  <c r="C39" i="55"/>
  <c r="C38" i="55"/>
  <c r="C37" i="55"/>
  <c r="C36" i="55"/>
  <c r="C35" i="55"/>
  <c r="C34" i="55"/>
  <c r="C33" i="55"/>
  <c r="C32" i="55"/>
  <c r="C31" i="55"/>
  <c r="C30" i="55"/>
  <c r="C29" i="55"/>
  <c r="C28" i="55"/>
  <c r="C27" i="55"/>
  <c r="C26" i="55"/>
  <c r="C22" i="55"/>
  <c r="D22" i="55" s="1"/>
  <c r="C21" i="55"/>
  <c r="D21" i="55" s="1"/>
  <c r="C20" i="55"/>
  <c r="D20" i="55" s="1"/>
  <c r="C19" i="55"/>
  <c r="D19" i="55" s="1"/>
  <c r="C18" i="55"/>
  <c r="D18" i="55" s="1"/>
  <c r="C17" i="55"/>
  <c r="D17" i="55" s="1"/>
  <c r="C16" i="55"/>
  <c r="D16" i="55" s="1"/>
  <c r="C15" i="55"/>
  <c r="D15" i="55" s="1"/>
  <c r="C14" i="55"/>
  <c r="D14" i="55" s="1"/>
  <c r="C13" i="55"/>
  <c r="D13" i="55" s="1"/>
  <c r="C12" i="55"/>
  <c r="D12" i="55" s="1"/>
  <c r="C11" i="55"/>
  <c r="D11" i="55" s="1"/>
  <c r="C10" i="55"/>
  <c r="D10" i="55" s="1"/>
  <c r="C9" i="55"/>
  <c r="D9" i="55" s="1"/>
  <c r="C8" i="55"/>
  <c r="D8" i="55" s="1"/>
  <c r="C7" i="55"/>
  <c r="D7" i="55" s="1"/>
  <c r="C6" i="55"/>
  <c r="D6" i="55" s="1"/>
  <c r="C5" i="55"/>
  <c r="D5" i="55" s="1"/>
  <c r="C4" i="55"/>
  <c r="D4" i="55" s="1"/>
  <c r="C3" i="55"/>
  <c r="D3" i="55" s="1"/>
  <c r="C2" i="55"/>
  <c r="D2" i="55" s="1"/>
  <c r="F22" i="6"/>
  <c r="F15" i="6"/>
  <c r="F8" i="6"/>
  <c r="F21" i="6"/>
  <c r="F14" i="6"/>
  <c r="F7" i="6"/>
  <c r="F20" i="6"/>
  <c r="F13" i="6"/>
  <c r="F6" i="6"/>
  <c r="F19" i="6"/>
  <c r="F12" i="6"/>
  <c r="F5" i="6"/>
  <c r="F18" i="6"/>
  <c r="F11" i="6"/>
  <c r="F4" i="6"/>
  <c r="F17" i="6"/>
  <c r="F10" i="6"/>
  <c r="F3" i="6"/>
  <c r="F16" i="6"/>
  <c r="F9" i="6"/>
  <c r="F2" i="6"/>
  <c r="D23" i="85" l="1"/>
  <c r="D23" i="63"/>
  <c r="D22" i="60"/>
  <c r="D23" i="55"/>
  <c r="F21" i="7"/>
  <c r="F20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2" i="7"/>
</calcChain>
</file>

<file path=xl/sharedStrings.xml><?xml version="1.0" encoding="utf-8"?>
<sst xmlns="http://schemas.openxmlformats.org/spreadsheetml/2006/main" count="1222" uniqueCount="45">
  <si>
    <t>A</t>
  </si>
  <si>
    <t>B</t>
  </si>
  <si>
    <t>C</t>
  </si>
  <si>
    <t>CFU</t>
  </si>
  <si>
    <t>Strain</t>
  </si>
  <si>
    <t>Replicate</t>
  </si>
  <si>
    <t>Time</t>
  </si>
  <si>
    <t>Measured LOG10(N)</t>
  </si>
  <si>
    <t>Identified LOG10(N)</t>
  </si>
  <si>
    <t>Squared difference</t>
  </si>
  <si>
    <t>Least Sum of Squared Error</t>
  </si>
  <si>
    <t>Parameters</t>
  </si>
  <si>
    <t>Parameter values</t>
  </si>
  <si>
    <t>kmax</t>
  </si>
  <si>
    <t>LOG10(N0)</t>
  </si>
  <si>
    <t>p</t>
  </si>
  <si>
    <t>delta1</t>
  </si>
  <si>
    <t>alpha</t>
  </si>
  <si>
    <t>delta2</t>
  </si>
  <si>
    <t>Standard Error</t>
  </si>
  <si>
    <t>Mean Sum of Squared Error</t>
  </si>
  <si>
    <t>R-Square</t>
  </si>
  <si>
    <t>R-Square adjusted</t>
  </si>
  <si>
    <t>Root Mean Sum of Squared Error</t>
  </si>
  <si>
    <t>LOG10(N_res)</t>
  </si>
  <si>
    <t>Inactivation model identified</t>
  </si>
  <si>
    <t>as can be derived from</t>
  </si>
  <si>
    <t xml:space="preserve">A.H. Geeraerd, C.H. Herremans and J.F. Van Impe 2000. Structural model requirements to describe microbial inactivation during a mild heat treatment. International Journal of Food Microbiology, 59(3), 185-209 </t>
  </si>
  <si>
    <t>For identification purposes reformulated as</t>
  </si>
  <si>
    <t>N= (N0- N_res) * exp(-kmax * t) + N_res</t>
  </si>
  <si>
    <t>LOG10(N)= LOG10((10^LOG10(N0)- 10^LOG10(N_res)) * exp(-kmax * t) + 10^LOG10(N_res))</t>
  </si>
  <si>
    <t>N=N0/(1+10^alfa)*(10^(-((t-1)/delta1)^p+alfa)+10^(-((-1)/delta2)**p))</t>
  </si>
  <si>
    <t>LOG10(N)=log10(10**N0/(1+10**alfa)*(10**(-(t/delta1)**p+alfa)+10**(-(t/delta2)**p)))</t>
  </si>
  <si>
    <t>Coroller et al. 2006. General Model Based on Two Mixed Weibull Distributions of Bacterial Resistance for Describing Various Shapes of Inactivation Curves. Applied and Environmental Microbilogy, 72, 6493-6502</t>
  </si>
  <si>
    <t>delta</t>
  </si>
  <si>
    <t>N/N0= 10**(-((t/delta)**p))</t>
  </si>
  <si>
    <t>LOG10(N)=LOG10(N0)-((t/delta)**p)</t>
  </si>
  <si>
    <t>P. Mafart, O. Couvert, S. Gaillard and I. Leguerinel 2002. On calculating sterility in thermal preservation methods: application of the Weibull frequency distribution model. International Journal of Food Microbiology, 72, 107-113</t>
  </si>
  <si>
    <t>Treatment</t>
  </si>
  <si>
    <t>Temperature</t>
  </si>
  <si>
    <t>Un-chilled</t>
  </si>
  <si>
    <t>56C</t>
  </si>
  <si>
    <t>Pre-chilled</t>
  </si>
  <si>
    <t>Trreatment</t>
  </si>
  <si>
    <t xml:space="preserve"> 56C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</si>
</sst>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2" fontId="2" fillId="0" borderId="0" xfId="0" applyNumberFormat="1" applyFont="1"/>
    <xf numFmtId="2" fontId="1" fillId="0" borderId="0" xfId="0" applyNumberFormat="1" applyFont="1"/>
    <xf numFmtId="2" fontId="0" fillId="0" borderId="0" xfId="0" applyNumberFormat="1"/>
    <xf numFmtId="2" fontId="1" fillId="0" borderId="0" xfId="0" applyNumberFormat="1" applyFont="1" applyAlignment="1">
      <alignment horizontal="right"/>
    </xf>
    <xf numFmtId="2" fontId="4" fillId="0" borderId="0" xfId="0" applyNumberFormat="1" applyFont="1" applyAlignment="1">
      <alignment wrapText="1"/>
    </xf>
    <xf numFmtId="2" fontId="5" fillId="0" borderId="0" xfId="0" applyNumberFormat="1" applyFont="1"/>
    <xf numFmtId="2" fontId="4" fillId="0" borderId="0" xfId="0" applyNumberFormat="1" applyFont="1"/>
    <xf numFmtId="0" fontId="5" fillId="0" borderId="0" xfId="0" applyFont="1"/>
    <xf numFmtId="0" fontId="0" fillId="0" borderId="0" xfId="0" applyFont="1"/>
    <xf numFmtId="2" fontId="0" fillId="0" borderId="0" xfId="0" applyNumberFormat="1" applyFont="1"/>
    <xf numFmtId="164" fontId="5" fillId="0" borderId="0" xfId="0" applyNumberFormat="1" applyFont="1"/>
    <xf numFmtId="2" fontId="4" fillId="0" borderId="0" xfId="0" applyNumberFormat="1" applyFont="1" applyAlignment="1">
      <alignment horizontal="right"/>
    </xf>
    <xf numFmtId="0" fontId="4" fillId="0" borderId="0" xfId="0" applyFont="1"/>
    <xf numFmtId="0" fontId="1" fillId="0" borderId="0" xfId="0" applyFont="1"/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65" fontId="5" fillId="0" borderId="0" xfId="0" applyNumberFormat="1" applyFont="1"/>
    <xf numFmtId="165" fontId="0" fillId="0" borderId="0" xfId="0" applyNumberFormat="1" applyFont="1"/>
    <xf numFmtId="165" fontId="0" fillId="0" borderId="0" xfId="0" applyNumberFormat="1"/>
    <xf numFmtId="0" fontId="5" fillId="0" borderId="0" xfId="0" applyFont="1" applyAlignment="1"/>
    <xf numFmtId="0" fontId="0" fillId="0" borderId="0" xfId="0" applyFont="1" applyAlignment="1"/>
    <xf numFmtId="2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2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2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'12628 Un-chilled Geeraerd Tail'!$A$2:$A$22</c:f>
              <c:numCache>
                <c:formatCode>0.00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8</c:v>
                </c:pt>
                <c:pt idx="20">
                  <c:v>10</c:v>
                </c:pt>
              </c:numCache>
            </c:numRef>
          </c:xVal>
          <c:yVal>
            <c:numRef>
              <c:f>'12628 Un-chilled Geeraerd Tail'!$B$2:$B$22</c:f>
              <c:numCache>
                <c:formatCode>0.00</c:formatCode>
                <c:ptCount val="21"/>
                <c:pt idx="0">
                  <c:v>5.7781512503836439</c:v>
                </c:pt>
                <c:pt idx="1">
                  <c:v>4.3979400086720375</c:v>
                </c:pt>
                <c:pt idx="2">
                  <c:v>3.8864907251724818</c:v>
                </c:pt>
                <c:pt idx="3">
                  <c:v>3.6720978579357175</c:v>
                </c:pt>
                <c:pt idx="4">
                  <c:v>4.3483048630481607</c:v>
                </c:pt>
                <c:pt idx="5">
                  <c:v>4.3324384599156049</c:v>
                </c:pt>
                <c:pt idx="6">
                  <c:v>3.6020599913279625</c:v>
                </c:pt>
                <c:pt idx="7">
                  <c:v>5.826074802700826</c:v>
                </c:pt>
                <c:pt idx="8">
                  <c:v>4.3483048630481607</c:v>
                </c:pt>
                <c:pt idx="9">
                  <c:v>4.1760912590556813</c:v>
                </c:pt>
                <c:pt idx="10">
                  <c:v>4.5185139398778871</c:v>
                </c:pt>
                <c:pt idx="11">
                  <c:v>4.3364597338485291</c:v>
                </c:pt>
                <c:pt idx="12">
                  <c:v>4.5250448070368456</c:v>
                </c:pt>
                <c:pt idx="13">
                  <c:v>4.5250448070368456</c:v>
                </c:pt>
                <c:pt idx="14">
                  <c:v>5.4771212547196626</c:v>
                </c:pt>
                <c:pt idx="15">
                  <c:v>4.3617278360175931</c:v>
                </c:pt>
                <c:pt idx="16">
                  <c:v>4.568201724066995</c:v>
                </c:pt>
                <c:pt idx="17">
                  <c:v>4.0293837776852097</c:v>
                </c:pt>
                <c:pt idx="18">
                  <c:v>4.204119982655925</c:v>
                </c:pt>
                <c:pt idx="19">
                  <c:v>4.5440680443502757</c:v>
                </c:pt>
                <c:pt idx="20">
                  <c:v>3.9370161074648142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'12628 Un-chilled Geeraerd Tail'!$A$26:$A$126</c:f>
              <c:numCache>
                <c:formatCode>0.00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</c:numCache>
            </c:numRef>
          </c:xVal>
          <c:yVal>
            <c:numRef>
              <c:f>'12628 Un-chilled Geeraerd Tail'!$C$26:$C$126</c:f>
              <c:numCache>
                <c:formatCode>0.00</c:formatCode>
                <c:ptCount val="101"/>
                <c:pt idx="0">
                  <c:v>5.6938202494172048</c:v>
                </c:pt>
                <c:pt idx="1">
                  <c:v>5.5182162851449865</c:v>
                </c:pt>
                <c:pt idx="2">
                  <c:v>5.3462844621399013</c:v>
                </c:pt>
                <c:pt idx="3">
                  <c:v>5.1796602105457534</c:v>
                </c:pt>
                <c:pt idx="4">
                  <c:v>5.0205174244742174</c:v>
                </c:pt>
                <c:pt idx="5">
                  <c:v>4.8715570151585288</c:v>
                </c:pt>
                <c:pt idx="6">
                  <c:v>4.7358149521014239</c:v>
                </c:pt>
                <c:pt idx="7">
                  <c:v>4.6162209391468236</c:v>
                </c:pt>
                <c:pt idx="8">
                  <c:v>4.5149560748865172</c:v>
                </c:pt>
                <c:pt idx="9">
                  <c:v>4.4328421515182654</c:v>
                </c:pt>
                <c:pt idx="10">
                  <c:v>4.3690830771919673</c:v>
                </c:pt>
                <c:pt idx="11">
                  <c:v>4.3215156005790369</c:v>
                </c:pt>
                <c:pt idx="12">
                  <c:v>4.2872167619031814</c:v>
                </c:pt>
                <c:pt idx="13">
                  <c:v>4.2631480745653469</c:v>
                </c:pt>
                <c:pt idx="14">
                  <c:v>4.24660098777471</c:v>
                </c:pt>
                <c:pt idx="15">
                  <c:v>4.235392540013466</c:v>
                </c:pt>
                <c:pt idx="16">
                  <c:v>4.2278789922672892</c:v>
                </c:pt>
                <c:pt idx="17">
                  <c:v>4.2228782189110232</c:v>
                </c:pt>
                <c:pt idx="18">
                  <c:v>4.219565939316186</c:v>
                </c:pt>
                <c:pt idx="19">
                  <c:v>4.217379139308572</c:v>
                </c:pt>
                <c:pt idx="20">
                  <c:v>4.2159385008987593</c:v>
                </c:pt>
                <c:pt idx="21">
                  <c:v>4.2149907783209661</c:v>
                </c:pt>
                <c:pt idx="22">
                  <c:v>4.2143679067388895</c:v>
                </c:pt>
                <c:pt idx="23">
                  <c:v>4.213958790728082</c:v>
                </c:pt>
                <c:pt idx="24">
                  <c:v>4.2136901837501854</c:v>
                </c:pt>
                <c:pt idx="25">
                  <c:v>4.2135138758812918</c:v>
                </c:pt>
                <c:pt idx="26">
                  <c:v>4.2133981715417237</c:v>
                </c:pt>
                <c:pt idx="27">
                  <c:v>4.213322247834375</c:v>
                </c:pt>
                <c:pt idx="28">
                  <c:v>4.2132724314480292</c:v>
                </c:pt>
                <c:pt idx="29">
                  <c:v>4.213239746679359</c:v>
                </c:pt>
                <c:pt idx="30">
                  <c:v>4.2132183027472321</c:v>
                </c:pt>
                <c:pt idx="31">
                  <c:v>4.2132042340421973</c:v>
                </c:pt>
                <c:pt idx="32">
                  <c:v>4.2131950041268569</c:v>
                </c:pt>
                <c:pt idx="33">
                  <c:v>4.2131889488039933</c:v>
                </c:pt>
                <c:pt idx="34">
                  <c:v>4.2131849762092637</c:v>
                </c:pt>
                <c:pt idx="35">
                  <c:v>4.213182369998731</c:v>
                </c:pt>
                <c:pt idx="36">
                  <c:v>4.2131806602054835</c:v>
                </c:pt>
                <c:pt idx="37">
                  <c:v>4.2131795385048703</c:v>
                </c:pt>
                <c:pt idx="38">
                  <c:v>4.2131788026200745</c:v>
                </c:pt>
                <c:pt idx="39">
                  <c:v>4.2131783198477306</c:v>
                </c:pt>
                <c:pt idx="40">
                  <c:v>4.2131780031282862</c:v>
                </c:pt>
                <c:pt idx="41">
                  <c:v>4.2131777953467591</c:v>
                </c:pt>
                <c:pt idx="42">
                  <c:v>4.2131776590332022</c:v>
                </c:pt>
                <c:pt idx="43">
                  <c:v>4.2131775696056994</c:v>
                </c:pt>
                <c:pt idx="44">
                  <c:v>4.2131775109374505</c:v>
                </c:pt>
                <c:pt idx="45">
                  <c:v>4.2131774724485842</c:v>
                </c:pt>
                <c:pt idx="46">
                  <c:v>4.2131774471982526</c:v>
                </c:pt>
                <c:pt idx="47">
                  <c:v>4.2131774306329621</c:v>
                </c:pt>
                <c:pt idx="48">
                  <c:v>4.2131774197654277</c:v>
                </c:pt>
                <c:pt idx="49">
                  <c:v>4.2131774126358641</c:v>
                </c:pt>
                <c:pt idx="50">
                  <c:v>4.2131774079585673</c:v>
                </c:pt>
                <c:pt idx="51">
                  <c:v>4.2131774048900619</c:v>
                </c:pt>
                <c:pt idx="52">
                  <c:v>4.2131774028769922</c:v>
                </c:pt>
                <c:pt idx="53">
                  <c:v>4.213177401556333</c:v>
                </c:pt>
                <c:pt idx="54">
                  <c:v>4.2131774006899247</c:v>
                </c:pt>
                <c:pt idx="55">
                  <c:v>4.2131774001215234</c:v>
                </c:pt>
                <c:pt idx="56">
                  <c:v>4.2131773997486288</c:v>
                </c:pt>
                <c:pt idx="57">
                  <c:v>4.2131773995039934</c:v>
                </c:pt>
                <c:pt idx="58">
                  <c:v>4.2131773993435031</c:v>
                </c:pt>
                <c:pt idx="59">
                  <c:v>4.213177399238214</c:v>
                </c:pt>
                <c:pt idx="60">
                  <c:v>4.2131773991691404</c:v>
                </c:pt>
                <c:pt idx="61">
                  <c:v>4.2131773991238246</c:v>
                </c:pt>
                <c:pt idx="62">
                  <c:v>4.2131773990940955</c:v>
                </c:pt>
                <c:pt idx="63">
                  <c:v>4.213177399074592</c:v>
                </c:pt>
                <c:pt idx="64">
                  <c:v>4.2131773990617969</c:v>
                </c:pt>
                <c:pt idx="65">
                  <c:v>4.2131773990534027</c:v>
                </c:pt>
                <c:pt idx="66">
                  <c:v>4.213177399047896</c:v>
                </c:pt>
                <c:pt idx="67">
                  <c:v>4.2131773990442838</c:v>
                </c:pt>
                <c:pt idx="68">
                  <c:v>4.2131773990419132</c:v>
                </c:pt>
                <c:pt idx="69">
                  <c:v>4.213177399040358</c:v>
                </c:pt>
                <c:pt idx="70">
                  <c:v>4.2131773990393384</c:v>
                </c:pt>
                <c:pt idx="71">
                  <c:v>4.2131773990386687</c:v>
                </c:pt>
                <c:pt idx="72">
                  <c:v>4.21317739903823</c:v>
                </c:pt>
                <c:pt idx="73">
                  <c:v>4.2131773990379422</c:v>
                </c:pt>
                <c:pt idx="74">
                  <c:v>4.213177399037753</c:v>
                </c:pt>
                <c:pt idx="75">
                  <c:v>4.2131773990376296</c:v>
                </c:pt>
                <c:pt idx="76">
                  <c:v>4.2131773990375478</c:v>
                </c:pt>
                <c:pt idx="77">
                  <c:v>4.2131773990374946</c:v>
                </c:pt>
                <c:pt idx="78">
                  <c:v>4.2131773990374599</c:v>
                </c:pt>
                <c:pt idx="79">
                  <c:v>4.2131773990374368</c:v>
                </c:pt>
                <c:pt idx="80">
                  <c:v>4.2131773990374217</c:v>
                </c:pt>
                <c:pt idx="81">
                  <c:v>4.213177399037412</c:v>
                </c:pt>
                <c:pt idx="82">
                  <c:v>4.2131773990374048</c:v>
                </c:pt>
                <c:pt idx="83">
                  <c:v>4.2131773990374013</c:v>
                </c:pt>
                <c:pt idx="84">
                  <c:v>4.2131773990373977</c:v>
                </c:pt>
                <c:pt idx="85">
                  <c:v>4.213177399037396</c:v>
                </c:pt>
                <c:pt idx="86">
                  <c:v>4.2131773990373951</c:v>
                </c:pt>
                <c:pt idx="87">
                  <c:v>4.2131773990373942</c:v>
                </c:pt>
                <c:pt idx="88">
                  <c:v>4.2131773990373933</c:v>
                </c:pt>
                <c:pt idx="89">
                  <c:v>4.2131773990373933</c:v>
                </c:pt>
                <c:pt idx="90">
                  <c:v>4.2131773990373933</c:v>
                </c:pt>
                <c:pt idx="91">
                  <c:v>4.2131773990373933</c:v>
                </c:pt>
                <c:pt idx="92">
                  <c:v>4.2131773990373933</c:v>
                </c:pt>
                <c:pt idx="93">
                  <c:v>4.2131773990373924</c:v>
                </c:pt>
                <c:pt idx="94">
                  <c:v>4.2131773990373924</c:v>
                </c:pt>
                <c:pt idx="95">
                  <c:v>4.2131773990373924</c:v>
                </c:pt>
                <c:pt idx="96">
                  <c:v>4.2131773990373924</c:v>
                </c:pt>
                <c:pt idx="97">
                  <c:v>4.2131773990373924</c:v>
                </c:pt>
                <c:pt idx="98">
                  <c:v>4.2131773990373924</c:v>
                </c:pt>
                <c:pt idx="99">
                  <c:v>4.2131773990373924</c:v>
                </c:pt>
                <c:pt idx="100">
                  <c:v>4.2131773990373924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743408"/>
        <c:axId val="359101176"/>
      </c:scatterChart>
      <c:valAx>
        <c:axId val="358743408"/>
        <c:scaling>
          <c:orientation val="minMax"/>
          <c:max val="1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101176"/>
        <c:crosses val="autoZero"/>
        <c:crossBetween val="midCat"/>
        <c:majorUnit val="2"/>
        <c:minorUnit val="0.4"/>
      </c:valAx>
      <c:valAx>
        <c:axId val="359101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Log10(N)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8743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'12628PC_Geeraerd_Tail'!$A$2:$A$22</c:f>
              <c:numCache>
                <c:formatCode>0.00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8</c:v>
                </c:pt>
                <c:pt idx="20">
                  <c:v>10</c:v>
                </c:pt>
              </c:numCache>
            </c:numRef>
          </c:xVal>
          <c:yVal>
            <c:numRef>
              <c:f>'12628PC_Geeraerd_Tail'!$B$2:$B$22</c:f>
              <c:numCache>
                <c:formatCode>0.00</c:formatCode>
                <c:ptCount val="21"/>
                <c:pt idx="0">
                  <c:v>5.6720978579357171</c:v>
                </c:pt>
                <c:pt idx="1">
                  <c:v>5</c:v>
                </c:pt>
                <c:pt idx="2">
                  <c:v>4.6720978579357171</c:v>
                </c:pt>
                <c:pt idx="3">
                  <c:v>4.6989700043360187</c:v>
                </c:pt>
                <c:pt idx="4">
                  <c:v>3.1461280356782382</c:v>
                </c:pt>
                <c:pt idx="5">
                  <c:v>3.6857417386022635</c:v>
                </c:pt>
                <c:pt idx="6">
                  <c:v>3.6384892569546374</c:v>
                </c:pt>
                <c:pt idx="7">
                  <c:v>5.826074802700826</c:v>
                </c:pt>
                <c:pt idx="8">
                  <c:v>4.8450980400142569</c:v>
                </c:pt>
                <c:pt idx="9">
                  <c:v>4.0530784434834199</c:v>
                </c:pt>
                <c:pt idx="10">
                  <c:v>4.4771212547196626</c:v>
                </c:pt>
                <c:pt idx="11">
                  <c:v>4.5185139398778871</c:v>
                </c:pt>
                <c:pt idx="12">
                  <c:v>4.7283537820212285</c:v>
                </c:pt>
                <c:pt idx="13">
                  <c:v>4.0413926851582254</c:v>
                </c:pt>
                <c:pt idx="14">
                  <c:v>5.9190780923760737</c:v>
                </c:pt>
                <c:pt idx="15">
                  <c:v>5.0899051114393981</c:v>
                </c:pt>
                <c:pt idx="16">
                  <c:v>4.2227164711475833</c:v>
                </c:pt>
                <c:pt idx="17">
                  <c:v>4.5276299008713385</c:v>
                </c:pt>
                <c:pt idx="18">
                  <c:v>4.2624510897304297</c:v>
                </c:pt>
                <c:pt idx="19">
                  <c:v>4.2671717284030137</c:v>
                </c:pt>
                <c:pt idx="20">
                  <c:v>4.6020599913279625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'12628PC_Geeraerd_Tail'!$A$26:$A$126</c:f>
              <c:numCache>
                <c:formatCode>0.00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1.155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</c:numCache>
            </c:numRef>
          </c:xVal>
          <c:yVal>
            <c:numRef>
              <c:f>'12628PC_Geeraerd_Tail'!$C$26:$C$126</c:f>
              <c:numCache>
                <c:formatCode>0.00</c:formatCode>
                <c:ptCount val="101"/>
                <c:pt idx="0">
                  <c:v>5.8200584716572319</c:v>
                </c:pt>
                <c:pt idx="1">
                  <c:v>5.7267440207183462</c:v>
                </c:pt>
                <c:pt idx="2">
                  <c:v>5.6340515392120327</c:v>
                </c:pt>
                <c:pt idx="3">
                  <c:v>5.5421231819068417</c:v>
                </c:pt>
                <c:pt idx="4">
                  <c:v>5.451130264803008</c:v>
                </c:pt>
                <c:pt idx="5">
                  <c:v>5.3612775462669306</c:v>
                </c:pt>
                <c:pt idx="6">
                  <c:v>5.2728072661552972</c:v>
                </c:pt>
                <c:pt idx="7">
                  <c:v>5.1860024139052596</c:v>
                </c:pt>
                <c:pt idx="8">
                  <c:v>5.1011884812320352</c:v>
                </c:pt>
                <c:pt idx="9">
                  <c:v>5.0187327388148679</c:v>
                </c:pt>
                <c:pt idx="10">
                  <c:v>4.9390399195573114</c:v>
                </c:pt>
                <c:pt idx="11">
                  <c:v>4.8219942580552368</c:v>
                </c:pt>
                <c:pt idx="12">
                  <c:v>4.7896895417024741</c:v>
                </c:pt>
                <c:pt idx="13">
                  <c:v>4.7209194388807738</c:v>
                </c:pt>
                <c:pt idx="14">
                  <c:v>4.6566414811909498</c:v>
                </c:pt>
                <c:pt idx="15">
                  <c:v>4.5972043119902608</c:v>
                </c:pt>
                <c:pt idx="16">
                  <c:v>4.5428691449285719</c:v>
                </c:pt>
                <c:pt idx="17">
                  <c:v>4.493787085680359</c:v>
                </c:pt>
                <c:pt idx="18">
                  <c:v>4.4499851966225528</c:v>
                </c:pt>
                <c:pt idx="19">
                  <c:v>4.4113639380348477</c:v>
                </c:pt>
                <c:pt idx="20">
                  <c:v>4.3777064854817471</c:v>
                </c:pt>
                <c:pt idx="21">
                  <c:v>4.3486981277115415</c:v>
                </c:pt>
                <c:pt idx="22">
                  <c:v>4.323952225000772</c:v>
                </c:pt>
                <c:pt idx="23">
                  <c:v>4.3030385219419731</c:v>
                </c:pt>
                <c:pt idx="24">
                  <c:v>4.2855099882689638</c:v>
                </c:pt>
                <c:pt idx="25">
                  <c:v>4.2709254651730992</c:v>
                </c:pt>
                <c:pt idx="26">
                  <c:v>4.2588667410609755</c:v>
                </c:pt>
                <c:pt idx="27">
                  <c:v>4.2489498687834288</c:v>
                </c:pt>
                <c:pt idx="28">
                  <c:v>4.2408313542640492</c:v>
                </c:pt>
                <c:pt idx="29">
                  <c:v>4.2342102635419536</c:v>
                </c:pt>
                <c:pt idx="30">
                  <c:v>4.2288273922910786</c:v>
                </c:pt>
                <c:pt idx="31">
                  <c:v>4.2244625369557482</c:v>
                </c:pt>
                <c:pt idx="32">
                  <c:v>4.2209307062720711</c:v>
                </c:pt>
                <c:pt idx="33">
                  <c:v>4.2180778909330376</c:v>
                </c:pt>
                <c:pt idx="34">
                  <c:v>4.2157768098151074</c:v>
                </c:pt>
                <c:pt idx="35">
                  <c:v>4.2139228912497062</c:v>
                </c:pt>
                <c:pt idx="36">
                  <c:v>4.2124306298461205</c:v>
                </c:pt>
                <c:pt idx="37">
                  <c:v>4.2112303782697573</c:v>
                </c:pt>
                <c:pt idx="38">
                  <c:v>4.210265581357433</c:v>
                </c:pt>
                <c:pt idx="39">
                  <c:v>4.20949042920408</c:v>
                </c:pt>
                <c:pt idx="40">
                  <c:v>4.2088678897638747</c:v>
                </c:pt>
                <c:pt idx="41">
                  <c:v>4.2083680749684511</c:v>
                </c:pt>
                <c:pt idx="42">
                  <c:v>4.2079668936870727</c:v>
                </c:pt>
                <c:pt idx="43">
                  <c:v>4.2076449475065321</c:v>
                </c:pt>
                <c:pt idx="44">
                  <c:v>4.207386629631503</c:v>
                </c:pt>
                <c:pt idx="45">
                  <c:v>4.2071793921593859</c:v>
                </c:pt>
                <c:pt idx="46">
                  <c:v>4.2070131519515552</c:v>
                </c:pt>
                <c:pt idx="47">
                  <c:v>4.2068798099677975</c:v>
                </c:pt>
                <c:pt idx="48">
                  <c:v>4.2067728630916301</c:v>
                </c:pt>
                <c:pt idx="49">
                  <c:v>4.206687091096895</c:v>
                </c:pt>
                <c:pt idx="50">
                  <c:v>4.2066183044980088</c:v>
                </c:pt>
                <c:pt idx="51">
                  <c:v>4.2065631416274112</c:v>
                </c:pt>
                <c:pt idx="52">
                  <c:v>4.2065189054486378</c:v>
                </c:pt>
                <c:pt idx="53">
                  <c:v>4.2064834324006899</c:v>
                </c:pt>
                <c:pt idx="54">
                  <c:v>4.2064549870356194</c:v>
                </c:pt>
                <c:pt idx="55">
                  <c:v>4.2064321774084759</c:v>
                </c:pt>
                <c:pt idx="56">
                  <c:v>4.2064138871525296</c:v>
                </c:pt>
                <c:pt idx="57">
                  <c:v>4.206399220962501</c:v>
                </c:pt>
                <c:pt idx="58">
                  <c:v>4.2063874608475258</c:v>
                </c:pt>
                <c:pt idx="59">
                  <c:v>4.2063780310317256</c:v>
                </c:pt>
                <c:pt idx="60">
                  <c:v>4.2063704697964521</c:v>
                </c:pt>
                <c:pt idx="61">
                  <c:v>4.2063644068935861</c:v>
                </c:pt>
                <c:pt idx="62">
                  <c:v>4.2063595454290788</c:v>
                </c:pt>
                <c:pt idx="63">
                  <c:v>4.2063556473329404</c:v>
                </c:pt>
                <c:pt idx="64">
                  <c:v>4.2063525217062665</c:v>
                </c:pt>
                <c:pt idx="65">
                  <c:v>4.2063500154760192</c:v>
                </c:pt>
                <c:pt idx="66">
                  <c:v>4.2063480059007761</c:v>
                </c:pt>
                <c:pt idx="67">
                  <c:v>4.2063463945609953</c:v>
                </c:pt>
                <c:pt idx="68">
                  <c:v>4.2063451025398324</c:v>
                </c:pt>
                <c:pt idx="69">
                  <c:v>4.2063440665587191</c:v>
                </c:pt>
                <c:pt idx="70">
                  <c:v>4.2063432358785962</c:v>
                </c:pt>
                <c:pt idx="71">
                  <c:v>4.2063425698151304</c:v>
                </c:pt>
                <c:pt idx="72">
                  <c:v>4.2063420357462658</c:v>
                </c:pt>
                <c:pt idx="73">
                  <c:v>4.2063416075145899</c:v>
                </c:pt>
                <c:pt idx="74">
                  <c:v>4.206341264146273</c:v>
                </c:pt>
                <c:pt idx="75">
                  <c:v>4.2063409888238539</c:v>
                </c:pt>
                <c:pt idx="76">
                  <c:v>4.2063407680625904</c:v>
                </c:pt>
                <c:pt idx="77">
                  <c:v>4.206340591050016</c:v>
                </c:pt>
                <c:pt idx="78">
                  <c:v>4.2063404491163823</c:v>
                </c:pt>
                <c:pt idx="79">
                  <c:v>4.2063403353100313</c:v>
                </c:pt>
                <c:pt idx="80">
                  <c:v>4.2063402440569266</c:v>
                </c:pt>
                <c:pt idx="81">
                  <c:v>4.206340170887648</c:v>
                </c:pt>
                <c:pt idx="82">
                  <c:v>4.2063401122184851</c:v>
                </c:pt>
                <c:pt idx="83">
                  <c:v>4.2063400651759206</c:v>
                </c:pt>
                <c:pt idx="84">
                  <c:v>4.2063400274558873</c:v>
                </c:pt>
                <c:pt idx="85">
                  <c:v>4.2063399972109172</c:v>
                </c:pt>
                <c:pt idx="86">
                  <c:v>4.2063399729596611</c:v>
                </c:pt>
                <c:pt idx="87">
                  <c:v>4.2063399535143322</c:v>
                </c:pt>
                <c:pt idx="88">
                  <c:v>4.2063399379225279</c:v>
                </c:pt>
                <c:pt idx="89">
                  <c:v>4.2063399254205871</c:v>
                </c:pt>
                <c:pt idx="90">
                  <c:v>4.2063399153961853</c:v>
                </c:pt>
                <c:pt idx="91">
                  <c:v>4.2063399073583421</c:v>
                </c:pt>
                <c:pt idx="92">
                  <c:v>4.2063399009133766</c:v>
                </c:pt>
                <c:pt idx="93">
                  <c:v>4.2063398957456251</c:v>
                </c:pt>
                <c:pt idx="94">
                  <c:v>4.2063398916019779</c:v>
                </c:pt>
                <c:pt idx="95">
                  <c:v>4.206339888279488</c:v>
                </c:pt>
                <c:pt idx="96">
                  <c:v>4.2063398856154226</c:v>
                </c:pt>
                <c:pt idx="97">
                  <c:v>4.206339883479302</c:v>
                </c:pt>
                <c:pt idx="98">
                  <c:v>4.2063398817665005</c:v>
                </c:pt>
                <c:pt idx="99">
                  <c:v>4.2063398803931298</c:v>
                </c:pt>
                <c:pt idx="100">
                  <c:v>4.2063398792919227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599528"/>
        <c:axId val="359271544"/>
      </c:scatterChart>
      <c:valAx>
        <c:axId val="3595995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271544"/>
        <c:crosses val="autoZero"/>
        <c:crossBetween val="midCat"/>
      </c:valAx>
      <c:valAx>
        <c:axId val="359271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5995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 Un-chilled Geeraerd_Tail'!$A$2:$A$22</c:f>
              <c:numCache>
                <c:formatCode>0.00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8</c:v>
                </c:pt>
                <c:pt idx="20">
                  <c:v>10</c:v>
                </c:pt>
              </c:numCache>
            </c:numRef>
          </c:xVal>
          <c:yVal>
            <c:numRef>
              <c:f>'12662 Un-chilled Geeraerd_Tail'!$B$2:$B$22</c:f>
              <c:numCache>
                <c:formatCode>0.00</c:formatCode>
                <c:ptCount val="21"/>
                <c:pt idx="0">
                  <c:v>5.3364597338485291</c:v>
                </c:pt>
                <c:pt idx="1">
                  <c:v>4.4313637641589869</c:v>
                </c:pt>
                <c:pt idx="2">
                  <c:v>3.8633228601204559</c:v>
                </c:pt>
                <c:pt idx="3">
                  <c:v>4.2227164711475833</c:v>
                </c:pt>
                <c:pt idx="4">
                  <c:v>4.2624510897304297</c:v>
                </c:pt>
                <c:pt idx="5">
                  <c:v>3.5440680443502757</c:v>
                </c:pt>
                <c:pt idx="6">
                  <c:v>4.0916669575956846</c:v>
                </c:pt>
                <c:pt idx="7">
                  <c:v>5.4771212547196626</c:v>
                </c:pt>
                <c:pt idx="8">
                  <c:v>3.9867717342662448</c:v>
                </c:pt>
                <c:pt idx="9">
                  <c:v>3.255272505103306</c:v>
                </c:pt>
                <c:pt idx="10">
                  <c:v>3.2787536009528289</c:v>
                </c:pt>
                <c:pt idx="11">
                  <c:v>3.3979400086720375</c:v>
                </c:pt>
                <c:pt idx="12">
                  <c:v>3.4232458739368079</c:v>
                </c:pt>
                <c:pt idx="13">
                  <c:v>3.6857417386022635</c:v>
                </c:pt>
                <c:pt idx="14">
                  <c:v>4.3159703454569174</c:v>
                </c:pt>
                <c:pt idx="15">
                  <c:v>3.9542425094393248</c:v>
                </c:pt>
                <c:pt idx="16">
                  <c:v>3.6720978579357175</c:v>
                </c:pt>
                <c:pt idx="17">
                  <c:v>4.012837224705172</c:v>
                </c:pt>
                <c:pt idx="18">
                  <c:v>3.1553360374650619</c:v>
                </c:pt>
                <c:pt idx="19">
                  <c:v>3.8662873390841948</c:v>
                </c:pt>
                <c:pt idx="20">
                  <c:v>3.6532125137753435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'12662 Un-chilled Geeraerd_Tail'!$A$26:$A$126</c:f>
              <c:numCache>
                <c:formatCode>0.00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1.042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</c:numCache>
            </c:numRef>
          </c:xVal>
          <c:yVal>
            <c:numRef>
              <c:f>'12662 Un-chilled Geeraerd_Tail'!$C$26:$C$126</c:f>
              <c:numCache>
                <c:formatCode>0.00</c:formatCode>
                <c:ptCount val="101"/>
                <c:pt idx="0">
                  <c:v>5.0555314685476338</c:v>
                </c:pt>
                <c:pt idx="1">
                  <c:v>4.9436996200601842</c:v>
                </c:pt>
                <c:pt idx="2">
                  <c:v>4.8335501351131018</c:v>
                </c:pt>
                <c:pt idx="3">
                  <c:v>4.7255306782608217</c:v>
                </c:pt>
                <c:pt idx="4">
                  <c:v>4.6201814252650815</c:v>
                </c:pt>
                <c:pt idx="5">
                  <c:v>4.5181382657211095</c:v>
                </c:pt>
                <c:pt idx="6">
                  <c:v>4.4201262557814056</c:v>
                </c:pt>
                <c:pt idx="7">
                  <c:v>4.3269386771929792</c:v>
                </c:pt>
                <c:pt idx="8">
                  <c:v>4.239397864780968</c:v>
                </c:pt>
                <c:pt idx="9">
                  <c:v>4.1582968836204826</c:v>
                </c:pt>
                <c:pt idx="10">
                  <c:v>4.0555160770477796</c:v>
                </c:pt>
                <c:pt idx="11">
                  <c:v>4.0179977477684377</c:v>
                </c:pt>
                <c:pt idx="12">
                  <c:v>3.9595778656870526</c:v>
                </c:pt>
                <c:pt idx="13">
                  <c:v>3.9090528900288128</c:v>
                </c:pt>
                <c:pt idx="14">
                  <c:v>3.8661300266646448</c:v>
                </c:pt>
                <c:pt idx="15">
                  <c:v>3.8302774524846965</c:v>
                </c:pt>
                <c:pt idx="16">
                  <c:v>3.8007911584815659</c:v>
                </c:pt>
                <c:pt idx="17">
                  <c:v>3.7768722234053627</c:v>
                </c:pt>
                <c:pt idx="18">
                  <c:v>3.757698868381175</c:v>
                </c:pt>
                <c:pt idx="19">
                  <c:v>3.7424830160635261</c:v>
                </c:pt>
                <c:pt idx="20">
                  <c:v>3.7305075924263953</c:v>
                </c:pt>
                <c:pt idx="21">
                  <c:v>3.721145879608458</c:v>
                </c:pt>
                <c:pt idx="22">
                  <c:v>3.7138669170188696</c:v>
                </c:pt>
                <c:pt idx="23">
                  <c:v>3.7082315892776796</c:v>
                </c:pt>
                <c:pt idx="24">
                  <c:v>3.7038834579633435</c:v>
                </c:pt>
                <c:pt idx="25">
                  <c:v>3.7005373417149294</c:v>
                </c:pt>
                <c:pt idx="26">
                  <c:v>3.6979675974484882</c:v>
                </c:pt>
                <c:pt idx="27">
                  <c:v>3.6959972140456467</c:v>
                </c:pt>
                <c:pt idx="28">
                  <c:v>3.6944882423897032</c:v>
                </c:pt>
                <c:pt idx="29">
                  <c:v>3.6933337171512939</c:v>
                </c:pt>
                <c:pt idx="30">
                  <c:v>3.6924510182084993</c:v>
                </c:pt>
                <c:pt idx="31">
                  <c:v>3.69177651853024</c:v>
                </c:pt>
                <c:pt idx="32">
                  <c:v>3.6912613288919989</c:v>
                </c:pt>
                <c:pt idx="33">
                  <c:v>3.6908679492099616</c:v>
                </c:pt>
                <c:pt idx="34">
                  <c:v>3.6905676533955845</c:v>
                </c:pt>
                <c:pt idx="35">
                  <c:v>3.6903384587129127</c:v>
                </c:pt>
                <c:pt idx="36">
                  <c:v>3.69016355577737</c:v>
                </c:pt>
                <c:pt idx="37">
                  <c:v>3.690030098644657</c:v>
                </c:pt>
                <c:pt idx="38">
                  <c:v>3.6899282746944682</c:v>
                </c:pt>
                <c:pt idx="39">
                  <c:v>3.6898505909402659</c:v>
                </c:pt>
                <c:pt idx="40">
                  <c:v>3.6897913271819678</c:v>
                </c:pt>
                <c:pt idx="41">
                  <c:v>3.689746117449578</c:v>
                </c:pt>
                <c:pt idx="42">
                  <c:v>3.6897116299033965</c:v>
                </c:pt>
                <c:pt idx="43">
                  <c:v>3.6896853221838923</c:v>
                </c:pt>
                <c:pt idx="44">
                  <c:v>3.6896652545162159</c:v>
                </c:pt>
                <c:pt idx="45">
                  <c:v>3.6896499469869632</c:v>
                </c:pt>
                <c:pt idx="46">
                  <c:v>3.6896382705833131</c:v>
                </c:pt>
                <c:pt idx="47">
                  <c:v>3.6896293640252904</c:v>
                </c:pt>
                <c:pt idx="48">
                  <c:v>3.6896225702956231</c:v>
                </c:pt>
                <c:pt idx="49">
                  <c:v>3.6896173882079113</c:v>
                </c:pt>
                <c:pt idx="50">
                  <c:v>3.6896134354534551</c:v>
                </c:pt>
                <c:pt idx="51">
                  <c:v>3.6896104204082301</c:v>
                </c:pt>
                <c:pt idx="52">
                  <c:v>3.6896081206244942</c:v>
                </c:pt>
                <c:pt idx="53">
                  <c:v>3.6896063664227627</c:v>
                </c:pt>
                <c:pt idx="54">
                  <c:v>3.6896050283750768</c:v>
                </c:pt>
                <c:pt idx="55">
                  <c:v>3.6896040077569419</c:v>
                </c:pt>
                <c:pt idx="56">
                  <c:v>3.6896032292639807</c:v>
                </c:pt>
                <c:pt idx="57">
                  <c:v>3.6896026354561968</c:v>
                </c:pt>
                <c:pt idx="58">
                  <c:v>3.689602182520114</c:v>
                </c:pt>
                <c:pt idx="59">
                  <c:v>3.6896018370362014</c:v>
                </c:pt>
                <c:pt idx="60">
                  <c:v>3.68960157351313</c:v>
                </c:pt>
                <c:pt idx="61">
                  <c:v>3.6896013725069614</c:v>
                </c:pt>
                <c:pt idx="62">
                  <c:v>3.6896012191865157</c:v>
                </c:pt>
                <c:pt idx="63">
                  <c:v>3.689601102239076</c:v>
                </c:pt>
                <c:pt idx="64">
                  <c:v>3.6896010130356918</c:v>
                </c:pt>
                <c:pt idx="65">
                  <c:v>3.6896009449944991</c:v>
                </c:pt>
                <c:pt idx="66">
                  <c:v>3.6896008930950805</c:v>
                </c:pt>
                <c:pt idx="67">
                  <c:v>3.6896008535080393</c:v>
                </c:pt>
                <c:pt idx="68">
                  <c:v>3.6896008233124444</c:v>
                </c:pt>
                <c:pt idx="69">
                  <c:v>3.6896008002803131</c:v>
                </c:pt>
                <c:pt idx="70">
                  <c:v>3.6896007827122186</c:v>
                </c:pt>
                <c:pt idx="71">
                  <c:v>3.6896007693118982</c:v>
                </c:pt>
                <c:pt idx="72">
                  <c:v>3.6896007590906086</c:v>
                </c:pt>
                <c:pt idx="73">
                  <c:v>3.6896007512941704</c:v>
                </c:pt>
                <c:pt idx="74">
                  <c:v>3.6896007453473239</c:v>
                </c:pt>
                <c:pt idx="75">
                  <c:v>3.6896007408112799</c:v>
                </c:pt>
                <c:pt idx="76">
                  <c:v>3.6896007373513462</c:v>
                </c:pt>
                <c:pt idx="77">
                  <c:v>3.6896007347122315</c:v>
                </c:pt>
                <c:pt idx="78">
                  <c:v>3.689600732699208</c:v>
                </c:pt>
                <c:pt idx="79">
                  <c:v>3.6896007311637455</c:v>
                </c:pt>
                <c:pt idx="80">
                  <c:v>3.6896007299925486</c:v>
                </c:pt>
                <c:pt idx="81">
                  <c:v>3.6896007290992014</c:v>
                </c:pt>
                <c:pt idx="82">
                  <c:v>3.6896007284177879</c:v>
                </c:pt>
                <c:pt idx="83">
                  <c:v>3.6896007278980294</c:v>
                </c:pt>
                <c:pt idx="84">
                  <c:v>3.6896007275015763</c:v>
                </c:pt>
                <c:pt idx="85">
                  <c:v>3.689600727199176</c:v>
                </c:pt>
                <c:pt idx="86">
                  <c:v>3.6896007269685156</c:v>
                </c:pt>
                <c:pt idx="87">
                  <c:v>3.6896007267925759</c:v>
                </c:pt>
                <c:pt idx="88">
                  <c:v>3.6896007266583757</c:v>
                </c:pt>
                <c:pt idx="89">
                  <c:v>3.6896007265560122</c:v>
                </c:pt>
                <c:pt idx="90">
                  <c:v>3.6896007264779334</c:v>
                </c:pt>
                <c:pt idx="91">
                  <c:v>3.6896007264183774</c:v>
                </c:pt>
                <c:pt idx="92">
                  <c:v>3.6896007263729502</c:v>
                </c:pt>
                <c:pt idx="93">
                  <c:v>3.6896007263382997</c:v>
                </c:pt>
                <c:pt idx="94">
                  <c:v>3.6896007263118697</c:v>
                </c:pt>
                <c:pt idx="95">
                  <c:v>3.6896007262917099</c:v>
                </c:pt>
                <c:pt idx="96">
                  <c:v>3.6896007262763328</c:v>
                </c:pt>
                <c:pt idx="97">
                  <c:v>3.6896007262646036</c:v>
                </c:pt>
                <c:pt idx="98">
                  <c:v>3.6896007262556569</c:v>
                </c:pt>
                <c:pt idx="99">
                  <c:v>3.6896007262488326</c:v>
                </c:pt>
                <c:pt idx="100">
                  <c:v>3.6896007262436274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865952"/>
        <c:axId val="359674088"/>
      </c:scatterChart>
      <c:valAx>
        <c:axId val="359865952"/>
        <c:scaling>
          <c:orientation val="minMax"/>
          <c:max val="1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674088"/>
        <c:crosses val="autoZero"/>
        <c:crossBetween val="midCat"/>
        <c:majorUnit val="2"/>
        <c:minorUnit val="0.5"/>
      </c:valAx>
      <c:valAx>
        <c:axId val="359674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8659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 Pre-chilled_Geeraerd_Tail'!$A$2:$A$21</c:f>
              <c:numCache>
                <c:formatCode>0.00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8</c:v>
                </c:pt>
                <c:pt idx="12">
                  <c:v>10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</c:numCache>
            </c:numRef>
          </c:xVal>
          <c:yVal>
            <c:numRef>
              <c:f>'12662 Pre-chilled_Geeraerd_Tail'!$B$2:$B$21</c:f>
              <c:numCache>
                <c:formatCode>0.00</c:formatCode>
                <c:ptCount val="20"/>
                <c:pt idx="0">
                  <c:v>5.2944662261615933</c:v>
                </c:pt>
                <c:pt idx="1">
                  <c:v>5.4771212547196626</c:v>
                </c:pt>
                <c:pt idx="2">
                  <c:v>4.6334684555795862</c:v>
                </c:pt>
                <c:pt idx="3">
                  <c:v>4</c:v>
                </c:pt>
                <c:pt idx="4">
                  <c:v>3.6334684555795866</c:v>
                </c:pt>
                <c:pt idx="5">
                  <c:v>3.8836614351536176</c:v>
                </c:pt>
                <c:pt idx="6">
                  <c:v>3.9370161074648142</c:v>
                </c:pt>
                <c:pt idx="7">
                  <c:v>5.4313637641589869</c:v>
                </c:pt>
                <c:pt idx="8">
                  <c:v>4.9190780923760737</c:v>
                </c:pt>
                <c:pt idx="9">
                  <c:v>3.7993405494535817</c:v>
                </c:pt>
                <c:pt idx="10">
                  <c:v>3.6720978579357175</c:v>
                </c:pt>
                <c:pt idx="11">
                  <c:v>4.0472748673841794</c:v>
                </c:pt>
                <c:pt idx="12">
                  <c:v>3.7520484478194387</c:v>
                </c:pt>
                <c:pt idx="13">
                  <c:v>5.7242758696007892</c:v>
                </c:pt>
                <c:pt idx="14">
                  <c:v>4.6334684555795862</c:v>
                </c:pt>
                <c:pt idx="15">
                  <c:v>4.7558748556724915</c:v>
                </c:pt>
                <c:pt idx="16">
                  <c:v>4.2552725051033065</c:v>
                </c:pt>
                <c:pt idx="17">
                  <c:v>4</c:v>
                </c:pt>
                <c:pt idx="18">
                  <c:v>3.9934362304976116</c:v>
                </c:pt>
                <c:pt idx="19">
                  <c:v>3.9934362304976116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 Pre-chilled_Geeraerd_Tail'!$A$25:$A$125</c:f>
              <c:numCache>
                <c:formatCode>0.000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1.905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</c:numCache>
            </c:numRef>
          </c:xVal>
          <c:yVal>
            <c:numRef>
              <c:f>'12662 Pre-chilled_Geeraerd_Tail'!$C$25:$C$125</c:f>
              <c:numCache>
                <c:formatCode>0.000</c:formatCode>
                <c:ptCount val="101"/>
                <c:pt idx="0">
                  <c:v>5.5030774430359548</c:v>
                </c:pt>
                <c:pt idx="1">
                  <c:v>5.4461810071182528</c:v>
                </c:pt>
                <c:pt idx="2">
                  <c:v>5.3895031401674487</c:v>
                </c:pt>
                <c:pt idx="3">
                  <c:v>5.3330732827724114</c:v>
                </c:pt>
                <c:pt idx="4">
                  <c:v>5.2769245186736349</c:v>
                </c:pt>
                <c:pt idx="5">
                  <c:v>5.2210939312764237</c:v>
                </c:pt>
                <c:pt idx="6">
                  <c:v>5.1656229671004628</c:v>
                </c:pt>
                <c:pt idx="7">
                  <c:v>5.1105577967822589</c:v>
                </c:pt>
                <c:pt idx="8">
                  <c:v>5.055949661072483</c:v>
                </c:pt>
                <c:pt idx="9">
                  <c:v>5.0018551855949003</c:v>
                </c:pt>
                <c:pt idx="10">
                  <c:v>4.9483366440328931</c:v>
                </c:pt>
                <c:pt idx="11">
                  <c:v>4.8954621450455011</c:v>
                </c:pt>
                <c:pt idx="12">
                  <c:v>4.8433057138639173</c:v>
                </c:pt>
                <c:pt idx="13">
                  <c:v>4.7919472355992516</c:v>
                </c:pt>
                <c:pt idx="14">
                  <c:v>4.7414722243812362</c:v>
                </c:pt>
                <c:pt idx="15">
                  <c:v>4.6919713812838939</c:v>
                </c:pt>
                <c:pt idx="16">
                  <c:v>4.6435399054475974</c:v>
                </c:pt>
                <c:pt idx="17">
                  <c:v>4.5962765278029378</c:v>
                </c:pt>
                <c:pt idx="18">
                  <c:v>4.5502822461924834</c:v>
                </c:pt>
                <c:pt idx="19">
                  <c:v>4.5034653772630024</c:v>
                </c:pt>
                <c:pt idx="20">
                  <c:v>4.4625065823574239</c:v>
                </c:pt>
                <c:pt idx="21">
                  <c:v>4.4209229701440895</c:v>
                </c:pt>
                <c:pt idx="22">
                  <c:v>4.380999562285953</c:v>
                </c:pt>
                <c:pt idx="23">
                  <c:v>4.3428199895661512</c:v>
                </c:pt>
                <c:pt idx="24">
                  <c:v>4.3064574666880899</c:v>
                </c:pt>
                <c:pt idx="25">
                  <c:v>4.2719725326603202</c:v>
                </c:pt>
                <c:pt idx="26">
                  <c:v>4.2394110725829721</c:v>
                </c:pt>
                <c:pt idx="27">
                  <c:v>4.2088027521169797</c:v>
                </c:pt>
                <c:pt idx="28">
                  <c:v>4.1801599749937886</c:v>
                </c:pt>
                <c:pt idx="29">
                  <c:v>4.1534774400708327</c:v>
                </c:pt>
                <c:pt idx="30">
                  <c:v>4.1287323311478392</c:v>
                </c:pt>
                <c:pt idx="31">
                  <c:v>4.1058851252590989</c:v>
                </c:pt>
                <c:pt idx="32">
                  <c:v>4.0848809594754671</c:v>
                </c:pt>
                <c:pt idx="33">
                  <c:v>4.0656514580678218</c:v>
                </c:pt>
                <c:pt idx="34">
                  <c:v>4.0481168954787261</c:v>
                </c:pt>
                <c:pt idx="35">
                  <c:v>4.0321885581035319</c:v>
                </c:pt>
                <c:pt idx="36">
                  <c:v>4.0177711693026534</c:v>
                </c:pt>
                <c:pt idx="37">
                  <c:v>4.0047652552999597</c:v>
                </c:pt>
                <c:pt idx="38">
                  <c:v>3.9930693513181064</c:v>
                </c:pt>
                <c:pt idx="39">
                  <c:v>3.9825819736050927</c:v>
                </c:pt>
                <c:pt idx="40">
                  <c:v>3.9732033102736963</c:v>
                </c:pt>
                <c:pt idx="41">
                  <c:v>3.9648366091784744</c:v>
                </c:pt>
                <c:pt idx="42">
                  <c:v>3.957389262426231</c:v>
                </c:pt>
                <c:pt idx="43">
                  <c:v>3.9507736035605894</c:v>
                </c:pt>
                <c:pt idx="44">
                  <c:v>3.9449074448082424</c:v>
                </c:pt>
                <c:pt idx="45">
                  <c:v>3.9397143884453558</c:v>
                </c:pt>
                <c:pt idx="46">
                  <c:v>3.9351239491100363</c:v>
                </c:pt>
                <c:pt idx="47">
                  <c:v>3.9310715236657505</c:v>
                </c:pt>
                <c:pt idx="48">
                  <c:v>3.9274982429150271</c:v>
                </c:pt>
                <c:pt idx="49">
                  <c:v>3.9243507358696492</c:v>
                </c:pt>
                <c:pt idx="50">
                  <c:v>3.9215808330469124</c:v>
                </c:pt>
                <c:pt idx="51">
                  <c:v>3.9191452308620658</c:v>
                </c:pt>
                <c:pt idx="52">
                  <c:v>3.9170051349551978</c:v>
                </c:pt>
                <c:pt idx="53">
                  <c:v>3.9151258964310829</c:v>
                </c:pt>
                <c:pt idx="54">
                  <c:v>3.913476651609936</c:v>
                </c:pt>
                <c:pt idx="55">
                  <c:v>3.9120299730221926</c:v>
                </c:pt>
                <c:pt idx="56">
                  <c:v>3.9107615370207935</c:v>
                </c:pt>
                <c:pt idx="57">
                  <c:v>3.9096498114906661</c:v>
                </c:pt>
                <c:pt idx="58">
                  <c:v>3.9086757656527036</c:v>
                </c:pt>
                <c:pt idx="59">
                  <c:v>3.9078226028286158</c:v>
                </c:pt>
                <c:pt idx="60">
                  <c:v>3.9070755161942503</c:v>
                </c:pt>
                <c:pt idx="61">
                  <c:v>3.9064214669474064</c:v>
                </c:pt>
                <c:pt idx="62">
                  <c:v>3.9058489839031889</c:v>
                </c:pt>
                <c:pt idx="63">
                  <c:v>3.9053479832637907</c:v>
                </c:pt>
                <c:pt idx="64">
                  <c:v>3.9049096071555676</c:v>
                </c:pt>
                <c:pt idx="65">
                  <c:v>3.9045260794558683</c:v>
                </c:pt>
                <c:pt idx="66">
                  <c:v>3.9041905774226047</c:v>
                </c:pt>
                <c:pt idx="67">
                  <c:v>3.9038971176730501</c:v>
                </c:pt>
                <c:pt idx="68">
                  <c:v>3.9036404551209571</c:v>
                </c:pt>
                <c:pt idx="69">
                  <c:v>3.9034159935622137</c:v>
                </c:pt>
                <c:pt idx="70">
                  <c:v>3.9032197066909942</c:v>
                </c:pt>
                <c:pt idx="71">
                  <c:v>3.9030480684249103</c:v>
                </c:pt>
                <c:pt idx="72">
                  <c:v>3.9028979915148314</c:v>
                </c:pt>
                <c:pt idx="73">
                  <c:v>3.9027667735099829</c:v>
                </c:pt>
                <c:pt idx="74">
                  <c:v>3.9026520492396313</c:v>
                </c:pt>
                <c:pt idx="75">
                  <c:v>3.9025517490580115</c:v>
                </c:pt>
                <c:pt idx="76">
                  <c:v>3.9024640621783804</c:v>
                </c:pt>
                <c:pt idx="77">
                  <c:v>3.9023874044949416</c:v>
                </c:pt>
                <c:pt idx="78">
                  <c:v>3.9023203903578727</c:v>
                </c:pt>
                <c:pt idx="79">
                  <c:v>3.9022618078269153</c:v>
                </c:pt>
                <c:pt idx="80">
                  <c:v>3.9022105969833096</c:v>
                </c:pt>
                <c:pt idx="81">
                  <c:v>3.9021658309285869</c:v>
                </c:pt>
                <c:pt idx="82">
                  <c:v>3.9021266991423129</c:v>
                </c:pt>
                <c:pt idx="83">
                  <c:v>3.9020924929097136</c:v>
                </c:pt>
                <c:pt idx="84">
                  <c:v>3.9020625925646355</c:v>
                </c:pt>
                <c:pt idx="85">
                  <c:v>3.9020364563239123</c:v>
                </c:pt>
                <c:pt idx="86">
                  <c:v>3.9020136105163026</c:v>
                </c:pt>
                <c:pt idx="87">
                  <c:v>3.9019936410331133</c:v>
                </c:pt>
                <c:pt idx="88">
                  <c:v>3.9019761858487412</c:v>
                </c:pt>
                <c:pt idx="89">
                  <c:v>3.9019609284779988</c:v>
                </c:pt>
                <c:pt idx="90">
                  <c:v>3.9019475922534648</c:v>
                </c:pt>
                <c:pt idx="91">
                  <c:v>3.901935935320525</c:v>
                </c:pt>
                <c:pt idx="92">
                  <c:v>3.9019257462604302</c:v>
                </c:pt>
                <c:pt idx="93">
                  <c:v>3.9019168402628277</c:v>
                </c:pt>
                <c:pt idx="94">
                  <c:v>3.9019090557789813</c:v>
                </c:pt>
                <c:pt idx="95">
                  <c:v>3.9019022515954611</c:v>
                </c:pt>
                <c:pt idx="96">
                  <c:v>3.9018963042755916</c:v>
                </c:pt>
                <c:pt idx="97">
                  <c:v>3.9018911059225294</c:v>
                </c:pt>
                <c:pt idx="98">
                  <c:v>3.9018865622236052</c:v>
                </c:pt>
                <c:pt idx="99">
                  <c:v>3.9018825907406174</c:v>
                </c:pt>
                <c:pt idx="100">
                  <c:v>3.9018791194151814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860144"/>
        <c:axId val="359861560"/>
      </c:scatterChart>
      <c:valAx>
        <c:axId val="3598601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861560"/>
        <c:crosses val="autoZero"/>
        <c:crossBetween val="midCat"/>
      </c:valAx>
      <c:valAx>
        <c:axId val="359861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8601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'13126UC_Weibull'!$A$2:$A$22</c:f>
              <c:numCache>
                <c:formatCode>0.00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8</c:v>
                </c:pt>
                <c:pt idx="20">
                  <c:v>10</c:v>
                </c:pt>
              </c:numCache>
            </c:numRef>
          </c:xVal>
          <c:yVal>
            <c:numRef>
              <c:f>'13126UC_Weibull'!$B$2:$B$22</c:f>
              <c:numCache>
                <c:formatCode>0.00</c:formatCode>
                <c:ptCount val="21"/>
                <c:pt idx="0">
                  <c:v>5.4099331233312942</c:v>
                </c:pt>
                <c:pt idx="1">
                  <c:v>3.6020599913279625</c:v>
                </c:pt>
                <c:pt idx="2">
                  <c:v>3.4771212547196626</c:v>
                </c:pt>
                <c:pt idx="3">
                  <c:v>3.2787536009528289</c:v>
                </c:pt>
                <c:pt idx="4">
                  <c:v>4.1038037209559572</c:v>
                </c:pt>
                <c:pt idx="5">
                  <c:v>2.3324384599156054</c:v>
                </c:pt>
                <c:pt idx="6">
                  <c:v>2.8356905714924254</c:v>
                </c:pt>
                <c:pt idx="7">
                  <c:v>5.7781512503836439</c:v>
                </c:pt>
                <c:pt idx="8">
                  <c:v>2.3617278360175926</c:v>
                </c:pt>
                <c:pt idx="9">
                  <c:v>2.7781512503836434</c:v>
                </c:pt>
                <c:pt idx="10">
                  <c:v>2.4771212547196626</c:v>
                </c:pt>
                <c:pt idx="11">
                  <c:v>1.4771212547196624</c:v>
                </c:pt>
                <c:pt idx="12">
                  <c:v>2</c:v>
                </c:pt>
                <c:pt idx="13">
                  <c:v>1.5440680443502757</c:v>
                </c:pt>
                <c:pt idx="14">
                  <c:v>5.1846914308175984</c:v>
                </c:pt>
                <c:pt idx="15">
                  <c:v>3.2944662261615929</c:v>
                </c:pt>
                <c:pt idx="16">
                  <c:v>2.9867717342662448</c:v>
                </c:pt>
                <c:pt idx="17">
                  <c:v>2.5185139398778875</c:v>
                </c:pt>
                <c:pt idx="18">
                  <c:v>3.1238516409670858</c:v>
                </c:pt>
                <c:pt idx="19">
                  <c:v>2.2174839442139063</c:v>
                </c:pt>
                <c:pt idx="20">
                  <c:v>2.2174839442139063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'13126UC_Weibull'!$A$26:$A$126</c:f>
              <c:numCache>
                <c:formatCode>0.000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</c:numCache>
            </c:numRef>
          </c:xVal>
          <c:yVal>
            <c:numRef>
              <c:f>'13126UC_Weibull'!$C$26:$C$126</c:f>
              <c:numCache>
                <c:formatCode>0.000</c:formatCode>
                <c:ptCount val="101"/>
                <c:pt idx="0">
                  <c:v>5.4530503202939808</c:v>
                </c:pt>
                <c:pt idx="1">
                  <c:v>3.9078544727138667</c:v>
                </c:pt>
                <c:pt idx="2">
                  <c:v>3.7328980778513214</c:v>
                </c:pt>
                <c:pt idx="3">
                  <c:v>3.6215103497391112</c:v>
                </c:pt>
                <c:pt idx="4">
                  <c:v>3.538132064582646</c:v>
                </c:pt>
                <c:pt idx="5">
                  <c:v>3.4708537072004737</c:v>
                </c:pt>
                <c:pt idx="6">
                  <c:v>3.4141323459755348</c:v>
                </c:pt>
                <c:pt idx="7">
                  <c:v>3.3649106735324161</c:v>
                </c:pt>
                <c:pt idx="8">
                  <c:v>3.3213134684154322</c:v>
                </c:pt>
                <c:pt idx="9">
                  <c:v>3.2821030782381753</c:v>
                </c:pt>
                <c:pt idx="10">
                  <c:v>3.246417449570933</c:v>
                </c:pt>
                <c:pt idx="11">
                  <c:v>3.2136308048973459</c:v>
                </c:pt>
                <c:pt idx="12">
                  <c:v>3.1832737536709734</c:v>
                </c:pt>
                <c:pt idx="13">
                  <c:v>3.1549847083355971</c:v>
                </c:pt>
                <c:pt idx="14">
                  <c:v>3.12847890655667</c:v>
                </c:pt>
                <c:pt idx="15">
                  <c:v>3.1035278749257644</c:v>
                </c:pt>
                <c:pt idx="16">
                  <c:v>3.0799453628873303</c:v>
                </c:pt>
                <c:pt idx="17">
                  <c:v>3.0575774369652939</c:v>
                </c:pt>
                <c:pt idx="18">
                  <c:v>3.0362953358075337</c:v>
                </c:pt>
                <c:pt idx="19">
                  <c:v>3.0159902080224912</c:v>
                </c:pt>
                <c:pt idx="20">
                  <c:v>2.9965691649981405</c:v>
                </c:pt>
                <c:pt idx="21">
                  <c:v>2.9779522716332973</c:v>
                </c:pt>
                <c:pt idx="22">
                  <c:v>2.9600702186375454</c:v>
                </c:pt>
                <c:pt idx="23">
                  <c:v>2.9428624984542013</c:v>
                </c:pt>
                <c:pt idx="24">
                  <c:v>2.9262759589501601</c:v>
                </c:pt>
                <c:pt idx="25">
                  <c:v>2.9102636443443761</c:v>
                </c:pt>
                <c:pt idx="26">
                  <c:v>2.8947838572554669</c:v>
                </c:pt>
                <c:pt idx="27">
                  <c:v>2.8797993928998658</c:v>
                </c:pt>
                <c:pt idx="28">
                  <c:v>2.8652769087096477</c:v>
                </c:pt>
                <c:pt idx="29">
                  <c:v>2.8511864014948496</c:v>
                </c:pt>
                <c:pt idx="30">
                  <c:v>2.837500770766761</c:v>
                </c:pt>
                <c:pt idx="31">
                  <c:v>2.8241954516545484</c:v>
                </c:pt>
                <c:pt idx="32">
                  <c:v>2.811248104459851</c:v>
                </c:pt>
                <c:pt idx="33">
                  <c:v>2.7986383506314123</c:v>
                </c:pt>
                <c:pt idx="34">
                  <c:v>2.7863475470361183</c:v>
                </c:pt>
                <c:pt idx="35">
                  <c:v>2.7743585920194236</c:v>
                </c:pt>
                <c:pt idx="36">
                  <c:v>2.7626557580064341</c:v>
                </c:pt>
                <c:pt idx="37">
                  <c:v>2.7512245463819891</c:v>
                </c:pt>
                <c:pt idx="38">
                  <c:v>2.7400515611680687</c:v>
                </c:pt>
                <c:pt idx="39">
                  <c:v>2.729124398637508</c:v>
                </c:pt>
                <c:pt idx="40">
                  <c:v>2.7184315505000165</c:v>
                </c:pt>
                <c:pt idx="41">
                  <c:v>2.7079623186970583</c:v>
                </c:pt>
                <c:pt idx="42">
                  <c:v>2.6977067401667485</c:v>
                </c:pt>
                <c:pt idx="43">
                  <c:v>2.6876555202045034</c:v>
                </c:pt>
                <c:pt idx="44">
                  <c:v>2.6777999732618971</c:v>
                </c:pt>
                <c:pt idx="45">
                  <c:v>2.6681319702046431</c:v>
                </c:pt>
                <c:pt idx="46">
                  <c:v>2.6586438911982153</c:v>
                </c:pt>
                <c:pt idx="47">
                  <c:v>2.6493285835122808</c:v>
                </c:pt>
                <c:pt idx="48">
                  <c:v>2.6401793236374616</c:v>
                </c:pt>
                <c:pt idx="49">
                  <c:v>2.6311897831937214</c:v>
                </c:pt>
                <c:pt idx="50">
                  <c:v>2.62235399818181</c:v>
                </c:pt>
                <c:pt idx="51">
                  <c:v>2.6136663411901049</c:v>
                </c:pt>
                <c:pt idx="52">
                  <c:v>2.6051214962208307</c:v>
                </c:pt>
                <c:pt idx="53">
                  <c:v>2.5967144358435066</c:v>
                </c:pt>
                <c:pt idx="54">
                  <c:v>2.5884404004209314</c:v>
                </c:pt>
                <c:pt idx="55">
                  <c:v>2.580294879185042</c:v>
                </c:pt>
                <c:pt idx="56">
                  <c:v>2.5722735929675178</c:v>
                </c:pt>
                <c:pt idx="57">
                  <c:v>2.5643724784136519</c:v>
                </c:pt>
                <c:pt idx="58">
                  <c:v>2.5565876735284725</c:v>
                </c:pt>
                <c:pt idx="59">
                  <c:v>2.5489155044218008</c:v>
                </c:pt>
                <c:pt idx="60">
                  <c:v>2.541352473134276</c:v>
                </c:pt>
                <c:pt idx="61">
                  <c:v>2.5338952464397706</c:v>
                </c:pt>
                <c:pt idx="62">
                  <c:v>2.5265406455312376</c:v>
                </c:pt>
                <c:pt idx="63">
                  <c:v>2.5192856365072771</c:v>
                </c:pt>
                <c:pt idx="64">
                  <c:v>2.5121273215855897</c:v>
                </c:pt>
                <c:pt idx="65">
                  <c:v>2.5050629309773718</c:v>
                </c:pt>
                <c:pt idx="66">
                  <c:v>2.4980898153635742</c:v>
                </c:pt>
                <c:pt idx="67">
                  <c:v>2.4912054389200629</c:v>
                </c:pt>
                <c:pt idx="68">
                  <c:v>2.4844073728440859</c:v>
                </c:pt>
                <c:pt idx="69">
                  <c:v>2.4776932893392032</c:v>
                </c:pt>
                <c:pt idx="70">
                  <c:v>2.4710609560200898</c:v>
                </c:pt>
                <c:pt idx="71">
                  <c:v>2.4645082307023447</c:v>
                </c:pt>
                <c:pt idx="72">
                  <c:v>2.4580330565457906</c:v>
                </c:pt>
                <c:pt idx="73">
                  <c:v>2.451633457522743</c:v>
                </c:pt>
                <c:pt idx="74">
                  <c:v>2.4453075341853596</c:v>
                </c:pt>
                <c:pt idx="75">
                  <c:v>2.4390534597085862</c:v>
                </c:pt>
                <c:pt idx="76">
                  <c:v>2.4328694761873382</c:v>
                </c:pt>
                <c:pt idx="77">
                  <c:v>2.4267538911684601</c:v>
                </c:pt>
                <c:pt idx="78">
                  <c:v>2.4207050743997489</c:v>
                </c:pt>
                <c:pt idx="79">
                  <c:v>2.4147214547798512</c:v>
                </c:pt>
                <c:pt idx="80">
                  <c:v>2.4088015174942536</c:v>
                </c:pt>
                <c:pt idx="81">
                  <c:v>2.4029438013238344</c:v>
                </c:pt>
                <c:pt idx="82">
                  <c:v>2.3971468961135955</c:v>
                </c:pt>
                <c:pt idx="83">
                  <c:v>2.3914094403902042</c:v>
                </c:pt>
                <c:pt idx="84">
                  <c:v>2.385730119117925</c:v>
                </c:pt>
                <c:pt idx="85">
                  <c:v>2.3801076615833523</c:v>
                </c:pt>
                <c:pt idx="86">
                  <c:v>2.3745408394001357</c:v>
                </c:pt>
                <c:pt idx="87">
                  <c:v>2.3690284646255768</c:v>
                </c:pt>
                <c:pt idx="88">
                  <c:v>2.3635693879816162</c:v>
                </c:pt>
                <c:pt idx="89">
                  <c:v>2.3581624971733173</c:v>
                </c:pt>
                <c:pt idx="90">
                  <c:v>2.3528067152984589</c:v>
                </c:pt>
                <c:pt idx="91">
                  <c:v>2.3475009993423668</c:v>
                </c:pt>
                <c:pt idx="92">
                  <c:v>2.3422443387525087</c:v>
                </c:pt>
                <c:pt idx="93">
                  <c:v>2.3370357540878337</c:v>
                </c:pt>
                <c:pt idx="94">
                  <c:v>2.3318742957381571</c:v>
                </c:pt>
                <c:pt idx="95">
                  <c:v>2.326759042709269</c:v>
                </c:pt>
                <c:pt idx="96">
                  <c:v>2.3216891014697358</c:v>
                </c:pt>
                <c:pt idx="97">
                  <c:v>2.3166636048556479</c:v>
                </c:pt>
                <c:pt idx="98">
                  <c:v>2.311681711029848</c:v>
                </c:pt>
                <c:pt idx="99">
                  <c:v>2.3067426024923976</c:v>
                </c:pt>
                <c:pt idx="100">
                  <c:v>2.3018454851392698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132168"/>
        <c:axId val="359420560"/>
      </c:scatterChart>
      <c:valAx>
        <c:axId val="3601321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420560"/>
        <c:crosses val="autoZero"/>
        <c:crossBetween val="midCat"/>
      </c:valAx>
      <c:valAx>
        <c:axId val="359420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1321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'13126PC_Geeraerd_Tail'!$A$2:$A$22</c:f>
              <c:numCache>
                <c:formatCode>0.00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8</c:v>
                </c:pt>
                <c:pt idx="20">
                  <c:v>10</c:v>
                </c:pt>
              </c:numCache>
            </c:numRef>
          </c:xVal>
          <c:yVal>
            <c:numRef>
              <c:f>'13126PC_Geeraerd_Tail'!$B$2:$B$22</c:f>
              <c:numCache>
                <c:formatCode>0.00</c:formatCode>
                <c:ptCount val="21"/>
                <c:pt idx="0">
                  <c:v>4.9684829485539348</c:v>
                </c:pt>
                <c:pt idx="1">
                  <c:v>2.7558748556724915</c:v>
                </c:pt>
                <c:pt idx="2">
                  <c:v>3.012837224705172</c:v>
                </c:pt>
                <c:pt idx="3">
                  <c:v>2.568201724066995</c:v>
                </c:pt>
                <c:pt idx="4">
                  <c:v>3.568201724066995</c:v>
                </c:pt>
                <c:pt idx="5">
                  <c:v>3.2174839442139063</c:v>
                </c:pt>
                <c:pt idx="6">
                  <c:v>1.1760912590556813</c:v>
                </c:pt>
                <c:pt idx="7">
                  <c:v>5.8864907251724823</c:v>
                </c:pt>
                <c:pt idx="8">
                  <c:v>2.6020599913279625</c:v>
                </c:pt>
                <c:pt idx="9">
                  <c:v>3.4313637641589874</c:v>
                </c:pt>
                <c:pt idx="10">
                  <c:v>3.3010299956639813</c:v>
                </c:pt>
                <c:pt idx="11">
                  <c:v>2.5185139398778875</c:v>
                </c:pt>
                <c:pt idx="12">
                  <c:v>2.3710678622717363</c:v>
                </c:pt>
                <c:pt idx="13">
                  <c:v>1.5440680443502757</c:v>
                </c:pt>
                <c:pt idx="14">
                  <c:v>5.7558748556724915</c:v>
                </c:pt>
                <c:pt idx="15">
                  <c:v>4.0293837776852097</c:v>
                </c:pt>
                <c:pt idx="16">
                  <c:v>3.9190780923760737</c:v>
                </c:pt>
                <c:pt idx="17">
                  <c:v>2.6989700043360187</c:v>
                </c:pt>
                <c:pt idx="18">
                  <c:v>3.4771212547196626</c:v>
                </c:pt>
                <c:pt idx="19">
                  <c:v>3.8450980400142569</c:v>
                </c:pt>
                <c:pt idx="20">
                  <c:v>2.4983105537896004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'13126PC_Geeraerd_Tail'!$A$26:$A$126</c:f>
              <c:numCache>
                <c:formatCode>0.000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0.36649999999999999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</c:numCache>
            </c:numRef>
          </c:xVal>
          <c:yVal>
            <c:numRef>
              <c:f>'13126PC_Geeraerd_Tail'!$C$26:$C$126</c:f>
              <c:numCache>
                <c:formatCode>0.000</c:formatCode>
                <c:ptCount val="101"/>
                <c:pt idx="0">
                  <c:v>5.536123838128197</c:v>
                </c:pt>
                <c:pt idx="1">
                  <c:v>5.2617214154012926</c:v>
                </c:pt>
                <c:pt idx="2">
                  <c:v>4.9880569837936584</c:v>
                </c:pt>
                <c:pt idx="3">
                  <c:v>4.715772356183578</c:v>
                </c:pt>
                <c:pt idx="4">
                  <c:v>4.5360150239236479</c:v>
                </c:pt>
                <c:pt idx="5">
                  <c:v>4.1810223802635722</c:v>
                </c:pt>
                <c:pt idx="6">
                  <c:v>3.924402195299856</c:v>
                </c:pt>
                <c:pt idx="7">
                  <c:v>3.6822234365518391</c:v>
                </c:pt>
                <c:pt idx="8">
                  <c:v>3.4631837457142254</c:v>
                </c:pt>
                <c:pt idx="9">
                  <c:v>3.2774148357213453</c:v>
                </c:pt>
                <c:pt idx="10">
                  <c:v>3.1327953426931643</c:v>
                </c:pt>
                <c:pt idx="11">
                  <c:v>3.0306093419631792</c:v>
                </c:pt>
                <c:pt idx="12">
                  <c:v>2.9647270026940946</c:v>
                </c:pt>
                <c:pt idx="13">
                  <c:v>2.9252376472748121</c:v>
                </c:pt>
                <c:pt idx="14">
                  <c:v>2.9027295807685149</c:v>
                </c:pt>
                <c:pt idx="15">
                  <c:v>2.8902958547150628</c:v>
                </c:pt>
                <c:pt idx="16">
                  <c:v>2.883551205194955</c:v>
                </c:pt>
                <c:pt idx="17">
                  <c:v>2.8799295752755469</c:v>
                </c:pt>
                <c:pt idx="18">
                  <c:v>2.877995643333259</c:v>
                </c:pt>
                <c:pt idx="19">
                  <c:v>2.8769660122093996</c:v>
                </c:pt>
                <c:pt idx="20">
                  <c:v>2.8764187081878267</c:v>
                </c:pt>
                <c:pt idx="21">
                  <c:v>2.8761280342556463</c:v>
                </c:pt>
                <c:pt idx="22">
                  <c:v>2.8759737267613703</c:v>
                </c:pt>
                <c:pt idx="23">
                  <c:v>2.8758918305975034</c:v>
                </c:pt>
                <c:pt idx="24">
                  <c:v>2.8758483711026215</c:v>
                </c:pt>
                <c:pt idx="25">
                  <c:v>2.8758253101963085</c:v>
                </c:pt>
                <c:pt idx="26">
                  <c:v>2.8758130738303578</c:v>
                </c:pt>
                <c:pt idx="27">
                  <c:v>2.8758065812062776</c:v>
                </c:pt>
                <c:pt idx="28">
                  <c:v>2.8758031362504015</c:v>
                </c:pt>
                <c:pt idx="29">
                  <c:v>2.8758013083827931</c:v>
                </c:pt>
                <c:pt idx="30">
                  <c:v>2.8758003385327875</c:v>
                </c:pt>
                <c:pt idx="31">
                  <c:v>2.8757998239399329</c:v>
                </c:pt>
                <c:pt idx="32">
                  <c:v>2.8757995509022547</c:v>
                </c:pt>
                <c:pt idx="33">
                  <c:v>2.8757994060313314</c:v>
                </c:pt>
                <c:pt idx="34">
                  <c:v>2.8757993291643591</c:v>
                </c:pt>
                <c:pt idx="35">
                  <c:v>2.8757992883795653</c:v>
                </c:pt>
                <c:pt idx="36">
                  <c:v>2.8757992667395911</c:v>
                </c:pt>
                <c:pt idx="37">
                  <c:v>2.8757992552576535</c:v>
                </c:pt>
                <c:pt idx="38">
                  <c:v>2.8757992491654605</c:v>
                </c:pt>
                <c:pt idx="39">
                  <c:v>2.8757992459330084</c:v>
                </c:pt>
                <c:pt idx="40">
                  <c:v>2.8757992442179043</c:v>
                </c:pt>
                <c:pt idx="41">
                  <c:v>2.8757992433078883</c:v>
                </c:pt>
                <c:pt idx="42">
                  <c:v>2.8757992428250438</c:v>
                </c:pt>
                <c:pt idx="43">
                  <c:v>2.8757992425688514</c:v>
                </c:pt>
                <c:pt idx="44">
                  <c:v>2.8757992424329188</c:v>
                </c:pt>
                <c:pt idx="45">
                  <c:v>2.8757992423607943</c:v>
                </c:pt>
                <c:pt idx="46">
                  <c:v>2.8757992423225258</c:v>
                </c:pt>
                <c:pt idx="47">
                  <c:v>2.8757992423022212</c:v>
                </c:pt>
                <c:pt idx="48">
                  <c:v>2.8757992422914476</c:v>
                </c:pt>
                <c:pt idx="49">
                  <c:v>2.8757992422857312</c:v>
                </c:pt>
                <c:pt idx="50">
                  <c:v>2.8757992422826981</c:v>
                </c:pt>
                <c:pt idx="51">
                  <c:v>2.8757992422810892</c:v>
                </c:pt>
                <c:pt idx="52">
                  <c:v>2.8757992422802352</c:v>
                </c:pt>
                <c:pt idx="53">
                  <c:v>2.8757992422797818</c:v>
                </c:pt>
                <c:pt idx="54">
                  <c:v>2.8757992422795415</c:v>
                </c:pt>
                <c:pt idx="55">
                  <c:v>2.8757992422794141</c:v>
                </c:pt>
                <c:pt idx="56">
                  <c:v>2.8757992422793466</c:v>
                </c:pt>
                <c:pt idx="57">
                  <c:v>2.8757992422793106</c:v>
                </c:pt>
                <c:pt idx="58">
                  <c:v>2.8757992422792915</c:v>
                </c:pt>
                <c:pt idx="59">
                  <c:v>2.8757992422792813</c:v>
                </c:pt>
                <c:pt idx="60">
                  <c:v>2.875799242279276</c:v>
                </c:pt>
                <c:pt idx="61">
                  <c:v>2.8757992422792733</c:v>
                </c:pt>
                <c:pt idx="62">
                  <c:v>2.8757992422792715</c:v>
                </c:pt>
                <c:pt idx="63">
                  <c:v>2.8757992422792706</c:v>
                </c:pt>
                <c:pt idx="64">
                  <c:v>2.8757992422792702</c:v>
                </c:pt>
                <c:pt idx="65">
                  <c:v>2.8757992422792702</c:v>
                </c:pt>
                <c:pt idx="66">
                  <c:v>2.8757992422792702</c:v>
                </c:pt>
                <c:pt idx="67">
                  <c:v>2.8757992422792702</c:v>
                </c:pt>
                <c:pt idx="68">
                  <c:v>2.8757992422792702</c:v>
                </c:pt>
                <c:pt idx="69">
                  <c:v>2.8757992422792698</c:v>
                </c:pt>
                <c:pt idx="70">
                  <c:v>2.8757992422792698</c:v>
                </c:pt>
                <c:pt idx="71">
                  <c:v>2.8757992422792698</c:v>
                </c:pt>
                <c:pt idx="72">
                  <c:v>2.8757992422792698</c:v>
                </c:pt>
                <c:pt idx="73">
                  <c:v>2.8757992422792698</c:v>
                </c:pt>
                <c:pt idx="74">
                  <c:v>2.8757992422792698</c:v>
                </c:pt>
                <c:pt idx="75">
                  <c:v>2.8757992422792698</c:v>
                </c:pt>
                <c:pt idx="76">
                  <c:v>2.8757992422792698</c:v>
                </c:pt>
                <c:pt idx="77">
                  <c:v>2.8757992422792698</c:v>
                </c:pt>
                <c:pt idx="78">
                  <c:v>2.8757992422792698</c:v>
                </c:pt>
                <c:pt idx="79">
                  <c:v>2.8757992422792698</c:v>
                </c:pt>
                <c:pt idx="80">
                  <c:v>2.8757992422792698</c:v>
                </c:pt>
                <c:pt idx="81">
                  <c:v>2.8757992422792698</c:v>
                </c:pt>
                <c:pt idx="82">
                  <c:v>2.8757992422792698</c:v>
                </c:pt>
                <c:pt idx="83">
                  <c:v>2.8757992422792698</c:v>
                </c:pt>
                <c:pt idx="84">
                  <c:v>2.8757992422792698</c:v>
                </c:pt>
                <c:pt idx="85">
                  <c:v>2.8757992422792698</c:v>
                </c:pt>
                <c:pt idx="86">
                  <c:v>2.8757992422792698</c:v>
                </c:pt>
                <c:pt idx="87">
                  <c:v>2.8757992422792698</c:v>
                </c:pt>
                <c:pt idx="88">
                  <c:v>2.8757992422792698</c:v>
                </c:pt>
                <c:pt idx="89">
                  <c:v>2.8757992422792698</c:v>
                </c:pt>
                <c:pt idx="90">
                  <c:v>2.8757992422792698</c:v>
                </c:pt>
                <c:pt idx="91">
                  <c:v>2.8757992422792698</c:v>
                </c:pt>
                <c:pt idx="92">
                  <c:v>2.8757992422792698</c:v>
                </c:pt>
                <c:pt idx="93">
                  <c:v>2.8757992422792698</c:v>
                </c:pt>
                <c:pt idx="94">
                  <c:v>2.8757992422792698</c:v>
                </c:pt>
                <c:pt idx="95">
                  <c:v>2.8757992422792698</c:v>
                </c:pt>
                <c:pt idx="96">
                  <c:v>2.8757992422792698</c:v>
                </c:pt>
                <c:pt idx="97">
                  <c:v>2.8757992422792698</c:v>
                </c:pt>
                <c:pt idx="98">
                  <c:v>2.8757992422792698</c:v>
                </c:pt>
                <c:pt idx="99">
                  <c:v>2.8757992422792698</c:v>
                </c:pt>
                <c:pt idx="100">
                  <c:v>2.8757992422792698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422128"/>
        <c:axId val="359422520"/>
      </c:scatterChart>
      <c:valAx>
        <c:axId val="3594221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422520"/>
        <c:crosses val="autoZero"/>
        <c:crossBetween val="midCat"/>
      </c:valAx>
      <c:valAx>
        <c:axId val="359422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4221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 Un-chilled Coroller'!$A$2:$A$21</c:f>
              <c:numCache>
                <c:formatCode>0.00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</c:numCache>
            </c:numRef>
          </c:xVal>
          <c:yVal>
            <c:numRef>
              <c:f>'13136 Un-chilled Coroller'!$B$2:$B$21</c:f>
              <c:numCache>
                <c:formatCode>0.00</c:formatCode>
                <c:ptCount val="20"/>
                <c:pt idx="0">
                  <c:v>5.4313637641589869</c:v>
                </c:pt>
                <c:pt idx="1">
                  <c:v>5.0293837776852097</c:v>
                </c:pt>
                <c:pt idx="2">
                  <c:v>3.9190780923760737</c:v>
                </c:pt>
                <c:pt idx="3">
                  <c:v>3.568201724066995</c:v>
                </c:pt>
                <c:pt idx="4">
                  <c:v>3.6720978579357175</c:v>
                </c:pt>
                <c:pt idx="5">
                  <c:v>3.7520484478194387</c:v>
                </c:pt>
                <c:pt idx="6">
                  <c:v>3.6180480967120925</c:v>
                </c:pt>
                <c:pt idx="7">
                  <c:v>5.2787536009528289</c:v>
                </c:pt>
                <c:pt idx="8">
                  <c:v>4.3010299956639813</c:v>
                </c:pt>
                <c:pt idx="9">
                  <c:v>4.5185139398778871</c:v>
                </c:pt>
                <c:pt idx="10">
                  <c:v>3.8450980400142569</c:v>
                </c:pt>
                <c:pt idx="11">
                  <c:v>4.1038037209559572</c:v>
                </c:pt>
                <c:pt idx="12">
                  <c:v>3.6532125137753435</c:v>
                </c:pt>
                <c:pt idx="13">
                  <c:v>3.0606978403536118</c:v>
                </c:pt>
                <c:pt idx="14">
                  <c:v>4.9684829485539348</c:v>
                </c:pt>
                <c:pt idx="15">
                  <c:v>4.8450980400142569</c:v>
                </c:pt>
                <c:pt idx="16">
                  <c:v>3.5185139398778875</c:v>
                </c:pt>
                <c:pt idx="17">
                  <c:v>3.4313637641589874</c:v>
                </c:pt>
                <c:pt idx="18">
                  <c:v>3.6989700043360187</c:v>
                </c:pt>
                <c:pt idx="19">
                  <c:v>3.6180480967120925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'13136 Un-chilled Coroller'!$A$25:$A$125</c:f>
              <c:numCache>
                <c:formatCode>0.00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</c:numCache>
            </c:numRef>
          </c:xVal>
          <c:yVal>
            <c:numRef>
              <c:f>'13136 Un-chilled Coroller'!$C$25:$C$125</c:f>
              <c:numCache>
                <c:formatCode>0.00</c:formatCode>
                <c:ptCount val="101"/>
                <c:pt idx="0">
                  <c:v>5.2203202031410099</c:v>
                </c:pt>
                <c:pt idx="1">
                  <c:v>5.2118591641201411</c:v>
                </c:pt>
                <c:pt idx="2">
                  <c:v>5.1913722138139029</c:v>
                </c:pt>
                <c:pt idx="3">
                  <c:v>5.1609400460840646</c:v>
                </c:pt>
                <c:pt idx="4">
                  <c:v>5.1215704566895823</c:v>
                </c:pt>
                <c:pt idx="5">
                  <c:v>5.0739865830420099</c:v>
                </c:pt>
                <c:pt idx="6">
                  <c:v>5.018801885211511</c:v>
                </c:pt>
                <c:pt idx="7">
                  <c:v>4.9566000342523271</c:v>
                </c:pt>
                <c:pt idx="8">
                  <c:v>4.8879874507370467</c:v>
                </c:pt>
                <c:pt idx="9">
                  <c:v>4.8136381492832916</c:v>
                </c:pt>
                <c:pt idx="10">
                  <c:v>4.7343384335446874</c:v>
                </c:pt>
                <c:pt idx="11">
                  <c:v>4.6510338947646446</c:v>
                </c:pt>
                <c:pt idx="12">
                  <c:v>4.5648770027223087</c:v>
                </c:pt>
                <c:pt idx="13">
                  <c:v>4.477268189640192</c:v>
                </c:pt>
                <c:pt idx="14">
                  <c:v>4.3898760242030113</c:v>
                </c:pt>
                <c:pt idx="15">
                  <c:v>4.3046141638585507</c:v>
                </c:pt>
                <c:pt idx="16">
                  <c:v>4.2235490902152621</c:v>
                </c:pt>
                <c:pt idx="17">
                  <c:v>4.1487218402280224</c:v>
                </c:pt>
                <c:pt idx="18">
                  <c:v>4.0818966780270651</c:v>
                </c:pt>
                <c:pt idx="19">
                  <c:v>4.0242946883367487</c:v>
                </c:pt>
                <c:pt idx="20">
                  <c:v>3.9764036311056419</c:v>
                </c:pt>
                <c:pt idx="21">
                  <c:v>3.937942545285614</c:v>
                </c:pt>
                <c:pt idx="22">
                  <c:v>3.907995474259859</c:v>
                </c:pt>
                <c:pt idx="23">
                  <c:v>3.8852545150182083</c:v>
                </c:pt>
                <c:pt idx="24">
                  <c:v>3.8682792969457238</c:v>
                </c:pt>
                <c:pt idx="25">
                  <c:v>3.8557001427940407</c:v>
                </c:pt>
                <c:pt idx="26">
                  <c:v>3.8463370884077501</c:v>
                </c:pt>
                <c:pt idx="27">
                  <c:v>3.8392437150462571</c:v>
                </c:pt>
                <c:pt idx="28">
                  <c:v>3.8337006808031187</c:v>
                </c:pt>
                <c:pt idx="29">
                  <c:v>3.829183593549077</c:v>
                </c:pt>
                <c:pt idx="30">
                  <c:v>3.8253227387471105</c:v>
                </c:pt>
                <c:pt idx="31">
                  <c:v>3.8218645641849451</c:v>
                </c:pt>
                <c:pt idx="32">
                  <c:v>3.8186392590205869</c:v>
                </c:pt>
                <c:pt idx="33">
                  <c:v>3.8155354716906578</c:v>
                </c:pt>
                <c:pt idx="34">
                  <c:v>3.8124815922679582</c:v>
                </c:pt>
                <c:pt idx="35">
                  <c:v>3.809432417312471</c:v>
                </c:pt>
                <c:pt idx="36">
                  <c:v>3.8063599343669354</c:v>
                </c:pt>
                <c:pt idx="37">
                  <c:v>3.8032471138389567</c:v>
                </c:pt>
                <c:pt idx="38">
                  <c:v>3.8000838192941933</c:v>
                </c:pt>
                <c:pt idx="39">
                  <c:v>3.7968641673654635</c:v>
                </c:pt>
                <c:pt idx="40">
                  <c:v>3.7935848553060576</c:v>
                </c:pt>
                <c:pt idx="41">
                  <c:v>3.7902441203040844</c:v>
                </c:pt>
                <c:pt idx="42">
                  <c:v>3.7868411029427116</c:v>
                </c:pt>
                <c:pt idx="43">
                  <c:v>3.7833754642982131</c:v>
                </c:pt>
                <c:pt idx="44">
                  <c:v>3.7798471593445582</c:v>
                </c:pt>
                <c:pt idx="45">
                  <c:v>3.7762563050100075</c:v>
                </c:pt>
                <c:pt idx="46">
                  <c:v>3.7726031045855302</c:v>
                </c:pt>
                <c:pt idx="47">
                  <c:v>3.768887805131925</c:v>
                </c:pt>
                <c:pt idx="48">
                  <c:v>3.7651106738992994</c:v>
                </c:pt>
                <c:pt idx="49">
                  <c:v>3.7612719855264256</c:v>
                </c:pt>
                <c:pt idx="50">
                  <c:v>3.7573720152553087</c:v>
                </c:pt>
                <c:pt idx="51">
                  <c:v>3.7534110354483858</c:v>
                </c:pt>
                <c:pt idx="52">
                  <c:v>3.7493893138887993</c:v>
                </c:pt>
                <c:pt idx="53">
                  <c:v>3.7453071130259667</c:v>
                </c:pt>
                <c:pt idx="54">
                  <c:v>3.7411646897118249</c:v>
                </c:pt>
                <c:pt idx="55">
                  <c:v>3.7369622951849664</c:v>
                </c:pt>
                <c:pt idx="56">
                  <c:v>3.7327001751751352</c:v>
                </c:pt>
                <c:pt idx="57">
                  <c:v>3.7283785700622802</c:v>
                </c:pt>
                <c:pt idx="58">
                  <c:v>3.7239977150568873</c:v>
                </c:pt>
                <c:pt idx="59">
                  <c:v>3.7195578403852028</c:v>
                </c:pt>
                <c:pt idx="60">
                  <c:v>3.7150591714715651</c:v>
                </c:pt>
                <c:pt idx="61">
                  <c:v>3.7105019291143826</c:v>
                </c:pt>
                <c:pt idx="62">
                  <c:v>3.7058863296544131</c:v>
                </c:pt>
                <c:pt idx="63">
                  <c:v>3.7012125851350164</c:v>
                </c:pt>
                <c:pt idx="64">
                  <c:v>3.6964809034545127</c:v>
                </c:pt>
                <c:pt idx="65">
                  <c:v>3.6916914885109851</c:v>
                </c:pt>
                <c:pt idx="66">
                  <c:v>3.6868445403399233</c:v>
                </c:pt>
                <c:pt idx="67">
                  <c:v>3.6819402552451437</c:v>
                </c:pt>
                <c:pt idx="68">
                  <c:v>3.6769788259233791</c:v>
                </c:pt>
                <c:pt idx="69">
                  <c:v>3.6719604415829381</c:v>
                </c:pt>
                <c:pt idx="70">
                  <c:v>3.6668852880567862</c:v>
                </c:pt>
                <c:pt idx="71">
                  <c:v>3.6617535479103926</c:v>
                </c:pt>
                <c:pt idx="72">
                  <c:v>3.6565654005446548</c:v>
                </c:pt>
                <c:pt idx="73">
                  <c:v>3.6513210222941814</c:v>
                </c:pt>
                <c:pt idx="74">
                  <c:v>3.6460205865212192</c:v>
                </c:pt>
                <c:pt idx="75">
                  <c:v>3.640664263705462</c:v>
                </c:pt>
                <c:pt idx="76">
                  <c:v>3.635252221529977</c:v>
                </c:pt>
                <c:pt idx="77">
                  <c:v>3.6297846249634689</c:v>
                </c:pt>
                <c:pt idx="78">
                  <c:v>3.624261636339082</c:v>
                </c:pt>
                <c:pt idx="79">
                  <c:v>3.6186834154299268</c:v>
                </c:pt>
                <c:pt idx="80">
                  <c:v>3.6130501195215108</c:v>
                </c:pt>
                <c:pt idx="81">
                  <c:v>3.6073619034812334</c:v>
                </c:pt>
                <c:pt idx="82">
                  <c:v>3.6016189198251034</c:v>
                </c:pt>
                <c:pt idx="83">
                  <c:v>3.5958213187818191</c:v>
                </c:pt>
                <c:pt idx="84">
                  <c:v>3.5899692483543477</c:v>
                </c:pt>
                <c:pt idx="85">
                  <c:v>3.5840628543791309</c:v>
                </c:pt>
                <c:pt idx="86">
                  <c:v>3.5781022805830331</c:v>
                </c:pt>
                <c:pt idx="87">
                  <c:v>3.5720876686381455</c:v>
                </c:pt>
                <c:pt idx="88">
                  <c:v>3.5660191582145506</c:v>
                </c:pt>
                <c:pt idx="89">
                  <c:v>3.5598968870311429</c:v>
                </c:pt>
                <c:pt idx="90">
                  <c:v>3.5537209909046026</c:v>
                </c:pt>
                <c:pt idx="91">
                  <c:v>3.5474916037966051</c:v>
                </c:pt>
                <c:pt idx="92">
                  <c:v>3.5412088578593544</c:v>
                </c:pt>
                <c:pt idx="93">
                  <c:v>3.5348728834795091</c:v>
                </c:pt>
                <c:pt idx="94">
                  <c:v>3.5284838093205826</c:v>
                </c:pt>
                <c:pt idx="95">
                  <c:v>3.5220417623638811</c:v>
                </c:pt>
                <c:pt idx="96">
                  <c:v>3.5155468679480473</c:v>
                </c:pt>
                <c:pt idx="97">
                  <c:v>3.5089992498072724</c:v>
                </c:pt>
                <c:pt idx="98">
                  <c:v>3.5023990301082275</c:v>
                </c:pt>
                <c:pt idx="99">
                  <c:v>3.4957463294857822</c:v>
                </c:pt>
                <c:pt idx="100">
                  <c:v>3.4890412670775492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423304"/>
        <c:axId val="359423696"/>
      </c:scatterChart>
      <c:valAx>
        <c:axId val="359423304"/>
        <c:scaling>
          <c:orientation val="minMax"/>
          <c:max val="1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423696"/>
        <c:crosses val="autoZero"/>
        <c:crossBetween val="midCat"/>
        <c:majorUnit val="2"/>
        <c:minorUnit val="0.4"/>
      </c:valAx>
      <c:valAx>
        <c:axId val="359423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4233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 Pre-chilled Coroller'!$A$2:$A$22</c:f>
              <c:numCache>
                <c:formatCode>0.00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8</c:v>
                </c:pt>
                <c:pt idx="20">
                  <c:v>10</c:v>
                </c:pt>
              </c:numCache>
            </c:numRef>
          </c:xVal>
          <c:yVal>
            <c:numRef>
              <c:f>'13136 Pre-chilled Coroller'!$B$2:$B$22</c:f>
              <c:numCache>
                <c:formatCode>0.00</c:formatCode>
                <c:ptCount val="21"/>
                <c:pt idx="0">
                  <c:v>5.3010299956639813</c:v>
                </c:pt>
                <c:pt idx="1">
                  <c:v>4.9395192526186182</c:v>
                </c:pt>
                <c:pt idx="2">
                  <c:v>3.8450980400142569</c:v>
                </c:pt>
                <c:pt idx="3">
                  <c:v>3.8864907251724818</c:v>
                </c:pt>
                <c:pt idx="4">
                  <c:v>3.7242758696007892</c:v>
                </c:pt>
                <c:pt idx="5">
                  <c:v>2.6180480967120929</c:v>
                </c:pt>
                <c:pt idx="6">
                  <c:v>2.6020599913279625</c:v>
                </c:pt>
                <c:pt idx="7">
                  <c:v>5.6020599913279625</c:v>
                </c:pt>
                <c:pt idx="8">
                  <c:v>4.0899051114393981</c:v>
                </c:pt>
                <c:pt idx="9">
                  <c:v>4.1846914308175984</c:v>
                </c:pt>
                <c:pt idx="10">
                  <c:v>2.9542425094393248</c:v>
                </c:pt>
                <c:pt idx="11">
                  <c:v>3.1846914308175989</c:v>
                </c:pt>
                <c:pt idx="12">
                  <c:v>2.5250448070368452</c:v>
                </c:pt>
                <c:pt idx="13">
                  <c:v>2.6989700043360187</c:v>
                </c:pt>
                <c:pt idx="14">
                  <c:v>5.4313637641589869</c:v>
                </c:pt>
                <c:pt idx="15">
                  <c:v>5</c:v>
                </c:pt>
                <c:pt idx="16">
                  <c:v>3.8260748027008264</c:v>
                </c:pt>
                <c:pt idx="17">
                  <c:v>3.568201724066995</c:v>
                </c:pt>
                <c:pt idx="18">
                  <c:v>4.1553360374650614</c:v>
                </c:pt>
                <c:pt idx="19">
                  <c:v>3.7403626894942437</c:v>
                </c:pt>
                <c:pt idx="20">
                  <c:v>3.7403626894942437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'13136 Pre-chilled Coroller'!$A$26:$A$126</c:f>
              <c:numCache>
                <c:formatCode>0.00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</c:numCache>
            </c:numRef>
          </c:xVal>
          <c:yVal>
            <c:numRef>
              <c:f>'13136 Pre-chilled Coroller'!$C$26:$C$126</c:f>
              <c:numCache>
                <c:formatCode>0.00</c:formatCode>
                <c:ptCount val="101"/>
                <c:pt idx="0">
                  <c:v>5.4403594206715269</c:v>
                </c:pt>
                <c:pt idx="1">
                  <c:v>5.3989794482908975</c:v>
                </c:pt>
                <c:pt idx="2">
                  <c:v>5.3401359145815332</c:v>
                </c:pt>
                <c:pt idx="3">
                  <c:v>5.272424700759804</c:v>
                </c:pt>
                <c:pt idx="4">
                  <c:v>5.1984447739219251</c:v>
                </c:pt>
                <c:pt idx="5">
                  <c:v>5.1196724442314654</c:v>
                </c:pt>
                <c:pt idx="6">
                  <c:v>5.0371489562193448</c:v>
                </c:pt>
                <c:pt idx="7">
                  <c:v>4.9517177645199908</c:v>
                </c:pt>
                <c:pt idx="8">
                  <c:v>4.864135962054756</c:v>
                </c:pt>
                <c:pt idx="9">
                  <c:v>4.7751377073759231</c:v>
                </c:pt>
                <c:pt idx="10">
                  <c:v>4.685474835575107</c:v>
                </c:pt>
                <c:pt idx="11">
                  <c:v>4.5959433797932698</c:v>
                </c:pt>
                <c:pt idx="12">
                  <c:v>4.5073979598018425</c:v>
                </c:pt>
                <c:pt idx="13">
                  <c:v>4.4207526025789683</c:v>
                </c:pt>
                <c:pt idx="14">
                  <c:v>4.3369650155337629</c:v>
                </c:pt>
                <c:pt idx="15">
                  <c:v>4.2570016382376208</c:v>
                </c:pt>
                <c:pt idx="16">
                  <c:v>4.1817833883982978</c:v>
                </c:pt>
                <c:pt idx="17">
                  <c:v>4.1121169228448808</c:v>
                </c:pt>
                <c:pt idx="18">
                  <c:v>4.0486222798483471</c:v>
                </c:pt>
                <c:pt idx="19">
                  <c:v>3.991672327872283</c:v>
                </c:pt>
                <c:pt idx="20">
                  <c:v>3.9413594374172591</c:v>
                </c:pt>
                <c:pt idx="21">
                  <c:v>3.8974987898439961</c:v>
                </c:pt>
                <c:pt idx="22">
                  <c:v>3.8596676061873936</c:v>
                </c:pt>
                <c:pt idx="23">
                  <c:v>3.8272698126608469</c:v>
                </c:pt>
                <c:pt idx="24">
                  <c:v>3.7996105151315929</c:v>
                </c:pt>
                <c:pt idx="25">
                  <c:v>3.7759654992338616</c:v>
                </c:pt>
                <c:pt idx="26">
                  <c:v>3.7556360112487042</c:v>
                </c:pt>
                <c:pt idx="27">
                  <c:v>3.7379851958387968</c:v>
                </c:pt>
                <c:pt idx="28">
                  <c:v>3.7224573617630088</c:v>
                </c:pt>
                <c:pt idx="29">
                  <c:v>3.7085838235492004</c:v>
                </c:pt>
                <c:pt idx="30">
                  <c:v>3.6959797162615358</c:v>
                </c:pt>
                <c:pt idx="31">
                  <c:v>3.6843356613150435</c:v>
                </c:pt>
                <c:pt idx="32">
                  <c:v>3.6734071784414364</c:v>
                </c:pt>
                <c:pt idx="33">
                  <c:v>3.6630037416056469</c:v>
                </c:pt>
                <c:pt idx="34">
                  <c:v>3.6529785700597985</c:v>
                </c:pt>
                <c:pt idx="35">
                  <c:v>3.6432196769084491</c:v>
                </c:pt>
                <c:pt idx="36">
                  <c:v>3.6336423371739262</c:v>
                </c:pt>
                <c:pt idx="37">
                  <c:v>3.6241829320425252</c:v>
                </c:pt>
                <c:pt idx="38">
                  <c:v>3.6147940244055152</c:v>
                </c:pt>
                <c:pt idx="39">
                  <c:v>3.6054404829266042</c:v>
                </c:pt>
                <c:pt idx="40">
                  <c:v>3.59609646983303</c:v>
                </c:pt>
                <c:pt idx="41">
                  <c:v>3.5867431236010749</c:v>
                </c:pt>
                <c:pt idx="42">
                  <c:v>3.5773667910124356</c:v>
                </c:pt>
                <c:pt idx="43">
                  <c:v>3.5679576877463477</c:v>
                </c:pt>
                <c:pt idx="44">
                  <c:v>3.5585088897258799</c:v>
                </c:pt>
                <c:pt idx="45">
                  <c:v>3.5490155775592398</c:v>
                </c:pt>
                <c:pt idx="46">
                  <c:v>3.5394744732646557</c:v>
                </c:pt>
                <c:pt idx="47">
                  <c:v>3.529883422184084</c:v>
                </c:pt>
                <c:pt idx="48">
                  <c:v>3.5202410839379423</c:v>
                </c:pt>
                <c:pt idx="49">
                  <c:v>3.5105467048803263</c:v>
                </c:pt>
                <c:pt idx="50">
                  <c:v>3.5007999512040842</c:v>
                </c:pt>
                <c:pt idx="51">
                  <c:v>3.4910007869967785</c:v>
                </c:pt>
                <c:pt idx="52">
                  <c:v>3.4811493854853368</c:v>
                </c:pt>
                <c:pt idx="53">
                  <c:v>3.4712460646960315</c:v>
                </c:pt>
                <c:pt idx="54">
                  <c:v>3.4612912410126637</c:v>
                </c:pt>
                <c:pt idx="55">
                  <c:v>3.4512853958104883</c:v>
                </c:pt>
                <c:pt idx="56">
                  <c:v>3.441229051610351</c:v>
                </c:pt>
                <c:pt idx="57">
                  <c:v>3.4311227551407715</c:v>
                </c:pt>
                <c:pt idx="58">
                  <c:v>3.4209670653951143</c:v>
                </c:pt>
                <c:pt idx="59">
                  <c:v>3.4107625452877395</c:v>
                </c:pt>
                <c:pt idx="60">
                  <c:v>3.4005097558934096</c:v>
                </c:pt>
                <c:pt idx="61">
                  <c:v>3.3902092525333178</c:v>
                </c:pt>
                <c:pt idx="62">
                  <c:v>3.3798615821751792</c:v>
                </c:pt>
                <c:pt idx="63">
                  <c:v>3.3694672817635918</c:v>
                </c:pt>
                <c:pt idx="64">
                  <c:v>3.3590268772049723</c:v>
                </c:pt>
                <c:pt idx="65">
                  <c:v>3.3485408828096914</c:v>
                </c:pt>
                <c:pt idx="66">
                  <c:v>3.3380098010505952</c:v>
                </c:pt>
                <c:pt idx="67">
                  <c:v>3.3274341225378414</c:v>
                </c:pt>
                <c:pt idx="68">
                  <c:v>3.3168143261392196</c:v>
                </c:pt>
                <c:pt idx="69">
                  <c:v>3.3061508791960659</c:v>
                </c:pt>
                <c:pt idx="70">
                  <c:v>3.295444237799825</c:v>
                </c:pt>
                <c:pt idx="71">
                  <c:v>3.2846948471049289</c:v>
                </c:pt>
                <c:pt idx="72">
                  <c:v>3.2739031416612105</c:v>
                </c:pt>
                <c:pt idx="73">
                  <c:v>3.2630695457543784</c:v>
                </c:pt>
                <c:pt idx="74">
                  <c:v>3.2521944737468318</c:v>
                </c:pt>
                <c:pt idx="75">
                  <c:v>3.2412783304137158</c:v>
                </c:pt>
                <c:pt idx="76">
                  <c:v>3.2303215112709309</c:v>
                </c:pt>
                <c:pt idx="77">
                  <c:v>3.2193244028931001</c:v>
                </c:pt>
                <c:pt idx="78">
                  <c:v>3.2082873832203398</c:v>
                </c:pt>
                <c:pt idx="79">
                  <c:v>3.1972108218532855</c:v>
                </c:pt>
                <c:pt idx="80">
                  <c:v>3.1860950803362185</c:v>
                </c:pt>
                <c:pt idx="81">
                  <c:v>3.1749405124283956</c:v>
                </c:pt>
                <c:pt idx="82">
                  <c:v>3.1637474643638579</c:v>
                </c:pt>
                <c:pt idx="83">
                  <c:v>3.1525162751000937</c:v>
                </c:pt>
                <c:pt idx="84">
                  <c:v>3.1412472765559878</c:v>
                </c:pt>
                <c:pt idx="85">
                  <c:v>3.1299407938395305</c:v>
                </c:pt>
                <c:pt idx="86">
                  <c:v>3.11859714546575</c:v>
                </c:pt>
                <c:pt idx="87">
                  <c:v>3.1072166435653523</c:v>
                </c:pt>
                <c:pt idx="88">
                  <c:v>3.0957995940845158</c:v>
                </c:pt>
                <c:pt idx="89">
                  <c:v>3.0843462969762978</c:v>
                </c:pt>
                <c:pt idx="90">
                  <c:v>3.0728570463840694</c:v>
                </c:pt>
                <c:pt idx="91">
                  <c:v>3.0613321308173833</c:v>
                </c:pt>
                <c:pt idx="92">
                  <c:v>3.0497718333206629</c:v>
                </c:pt>
                <c:pt idx="93">
                  <c:v>3.0381764316350717</c:v>
                </c:pt>
                <c:pt idx="94">
                  <c:v>3.0265461983539037</c:v>
                </c:pt>
                <c:pt idx="95">
                  <c:v>3.0148814010718206</c:v>
                </c:pt>
                <c:pt idx="96">
                  <c:v>3.0031823025282391</c:v>
                </c:pt>
                <c:pt idx="97">
                  <c:v>2.9914491607451552</c:v>
                </c:pt>
                <c:pt idx="98">
                  <c:v>2.9796822291596721</c:v>
                </c:pt>
                <c:pt idx="99">
                  <c:v>2.9678817567514946</c:v>
                </c:pt>
                <c:pt idx="100">
                  <c:v>2.9560479881656208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053016"/>
        <c:axId val="360053408"/>
      </c:scatterChart>
      <c:valAx>
        <c:axId val="360053016"/>
        <c:scaling>
          <c:orientation val="minMax"/>
          <c:max val="1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053408"/>
        <c:crosses val="autoZero"/>
        <c:crossBetween val="midCat"/>
        <c:majorUnit val="2"/>
        <c:minorUnit val="0.4"/>
      </c:valAx>
      <c:valAx>
        <c:axId val="360053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053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15</xdr:row>
      <xdr:rowOff>111124</xdr:rowOff>
    </xdr:from>
    <xdr:to>
      <xdr:col>13</xdr:col>
      <xdr:colOff>543055</xdr:colOff>
      <xdr:row>37</xdr:row>
      <xdr:rowOff>2524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569118</xdr:colOff>
      <xdr:row>15</xdr:row>
      <xdr:rowOff>46832</xdr:rowOff>
    </xdr:from>
    <xdr:to>
      <xdr:col>13</xdr:col>
      <xdr:colOff>485905</xdr:colOff>
      <xdr:row>36</xdr:row>
      <xdr:rowOff>128732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16</xdr:row>
      <xdr:rowOff>0</xdr:rowOff>
    </xdr:from>
    <xdr:to>
      <xdr:col>13</xdr:col>
      <xdr:colOff>552580</xdr:colOff>
      <xdr:row>37</xdr:row>
      <xdr:rowOff>81900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15</xdr:row>
      <xdr:rowOff>6350</xdr:rowOff>
    </xdr:from>
    <xdr:to>
      <xdr:col>13</xdr:col>
      <xdr:colOff>85725</xdr:colOff>
      <xdr:row>33</xdr:row>
      <xdr:rowOff>170942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14</xdr:row>
      <xdr:rowOff>187325</xdr:rowOff>
    </xdr:from>
    <xdr:to>
      <xdr:col>14</xdr:col>
      <xdr:colOff>52519</xdr:colOff>
      <xdr:row>36</xdr:row>
      <xdr:rowOff>78725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602192</xdr:colOff>
      <xdr:row>16</xdr:row>
      <xdr:rowOff>8467</xdr:rowOff>
    </xdr:from>
    <xdr:to>
      <xdr:col>13</xdr:col>
      <xdr:colOff>458125</xdr:colOff>
      <xdr:row>37</xdr:row>
      <xdr:rowOff>90367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17</xdr:row>
      <xdr:rowOff>139699</xdr:rowOff>
    </xdr:from>
    <xdr:to>
      <xdr:col>14</xdr:col>
      <xdr:colOff>52519</xdr:colOff>
      <xdr:row>39</xdr:row>
      <xdr:rowOff>31099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16</xdr:row>
      <xdr:rowOff>63499</xdr:rowOff>
    </xdr:from>
    <xdr:to>
      <xdr:col>14</xdr:col>
      <xdr:colOff>69187</xdr:colOff>
      <xdr:row>37</xdr:row>
      <xdr:rowOff>145399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abSelected="1" zoomScale="80" zoomScaleNormal="80" workbookViewId="0"/>
  </sheetViews>
  <sheetFormatPr defaultRowHeight="15" x14ac:dyDescent="0.25"/>
  <cols>
    <col min="1" max="1" width="9.140625" style="21"/>
    <col min="2" max="2" width="10.5703125" style="9" bestFit="1" customWidth="1"/>
    <col min="3" max="3" width="11.42578125" style="9" bestFit="1" customWidth="1"/>
    <col min="4" max="4" width="13.7109375" style="9" bestFit="1" customWidth="1"/>
    <col min="5" max="5" width="9.140625" style="10"/>
    <col min="6" max="6" width="9" style="9" customWidth="1"/>
    <col min="7" max="16384" width="9.140625" style="9"/>
  </cols>
  <sheetData>
    <row r="1" spans="1:6" x14ac:dyDescent="0.25">
      <c r="A1" s="20" t="s">
        <v>4</v>
      </c>
      <c r="B1" s="8" t="s">
        <v>5</v>
      </c>
      <c r="C1" s="8" t="s">
        <v>38</v>
      </c>
      <c r="D1" s="8" t="s">
        <v>39</v>
      </c>
      <c r="E1" s="6" t="s">
        <v>6</v>
      </c>
      <c r="F1" s="8" t="s">
        <v>3</v>
      </c>
    </row>
    <row r="2" spans="1:6" x14ac:dyDescent="0.25">
      <c r="A2" s="20">
        <v>12628</v>
      </c>
      <c r="B2" s="8" t="s">
        <v>0</v>
      </c>
      <c r="C2" s="8" t="s">
        <v>40</v>
      </c>
      <c r="D2" s="8" t="s">
        <v>41</v>
      </c>
      <c r="E2" s="6">
        <v>0</v>
      </c>
      <c r="F2" s="17">
        <f>LOG10(6*10^5)</f>
        <v>5.7781512503836439</v>
      </c>
    </row>
    <row r="3" spans="1:6" x14ac:dyDescent="0.25">
      <c r="A3" s="20">
        <v>12628</v>
      </c>
      <c r="B3" s="8" t="s">
        <v>0</v>
      </c>
      <c r="C3" s="8" t="s">
        <v>40</v>
      </c>
      <c r="D3" s="8" t="s">
        <v>41</v>
      </c>
      <c r="E3" s="6">
        <v>1</v>
      </c>
      <c r="F3" s="17">
        <f>LOG10(2.5*10^4)</f>
        <v>4.3979400086720375</v>
      </c>
    </row>
    <row r="4" spans="1:6" x14ac:dyDescent="0.25">
      <c r="A4" s="20">
        <v>12628</v>
      </c>
      <c r="B4" s="8" t="s">
        <v>0</v>
      </c>
      <c r="C4" s="8" t="s">
        <v>40</v>
      </c>
      <c r="D4" s="8" t="s">
        <v>41</v>
      </c>
      <c r="E4" s="6">
        <v>2</v>
      </c>
      <c r="F4" s="17">
        <f>LOG10(7.7*10^3)</f>
        <v>3.8864907251724818</v>
      </c>
    </row>
    <row r="5" spans="1:6" x14ac:dyDescent="0.25">
      <c r="A5" s="20">
        <v>12628</v>
      </c>
      <c r="B5" s="8" t="s">
        <v>0</v>
      </c>
      <c r="C5" s="8" t="s">
        <v>40</v>
      </c>
      <c r="D5" s="8" t="s">
        <v>41</v>
      </c>
      <c r="E5" s="6">
        <v>4</v>
      </c>
      <c r="F5" s="17">
        <f>LOG10(4.7*10^3)</f>
        <v>3.6720978579357175</v>
      </c>
    </row>
    <row r="6" spans="1:6" x14ac:dyDescent="0.25">
      <c r="A6" s="20">
        <v>12628</v>
      </c>
      <c r="B6" s="8" t="s">
        <v>0</v>
      </c>
      <c r="C6" s="8" t="s">
        <v>40</v>
      </c>
      <c r="D6" s="8" t="s">
        <v>41</v>
      </c>
      <c r="E6" s="6">
        <v>6</v>
      </c>
      <c r="F6" s="17">
        <f>LOG10(2.23*10^4)</f>
        <v>4.3483048630481607</v>
      </c>
    </row>
    <row r="7" spans="1:6" x14ac:dyDescent="0.25">
      <c r="A7" s="20">
        <v>12628</v>
      </c>
      <c r="B7" s="8" t="s">
        <v>0</v>
      </c>
      <c r="C7" s="8" t="s">
        <v>40</v>
      </c>
      <c r="D7" s="8" t="s">
        <v>41</v>
      </c>
      <c r="E7" s="6">
        <v>8</v>
      </c>
      <c r="F7" s="17">
        <f>LOG10(2.15*10^4)</f>
        <v>4.3324384599156049</v>
      </c>
    </row>
    <row r="8" spans="1:6" x14ac:dyDescent="0.25">
      <c r="A8" s="20">
        <v>12628</v>
      </c>
      <c r="B8" s="8" t="s">
        <v>0</v>
      </c>
      <c r="C8" s="8" t="s">
        <v>40</v>
      </c>
      <c r="D8" s="8" t="s">
        <v>41</v>
      </c>
      <c r="E8" s="6">
        <v>10</v>
      </c>
      <c r="F8" s="17">
        <f>LOG10(4*10^3)</f>
        <v>3.6020599913279625</v>
      </c>
    </row>
    <row r="9" spans="1:6" x14ac:dyDescent="0.25">
      <c r="A9" s="20">
        <v>12628</v>
      </c>
      <c r="B9" s="8" t="s">
        <v>1</v>
      </c>
      <c r="C9" s="8" t="s">
        <v>40</v>
      </c>
      <c r="D9" s="8" t="s">
        <v>41</v>
      </c>
      <c r="E9" s="6">
        <v>0</v>
      </c>
      <c r="F9" s="17">
        <f>LOG10(6.7*10^5)</f>
        <v>5.826074802700826</v>
      </c>
    </row>
    <row r="10" spans="1:6" x14ac:dyDescent="0.25">
      <c r="A10" s="20">
        <v>12628</v>
      </c>
      <c r="B10" s="8" t="s">
        <v>1</v>
      </c>
      <c r="C10" s="8" t="s">
        <v>40</v>
      </c>
      <c r="D10" s="8" t="s">
        <v>41</v>
      </c>
      <c r="E10" s="6">
        <v>1</v>
      </c>
      <c r="F10" s="17">
        <f>LOG10(2.23*10^4)</f>
        <v>4.3483048630481607</v>
      </c>
    </row>
    <row r="11" spans="1:6" x14ac:dyDescent="0.25">
      <c r="A11" s="20">
        <v>12628</v>
      </c>
      <c r="B11" s="8" t="s">
        <v>1</v>
      </c>
      <c r="C11" s="8" t="s">
        <v>40</v>
      </c>
      <c r="D11" s="8" t="s">
        <v>41</v>
      </c>
      <c r="E11" s="6">
        <v>2</v>
      </c>
      <c r="F11" s="17">
        <f>LOG10(1.5*10^4)</f>
        <v>4.1760912590556813</v>
      </c>
    </row>
    <row r="12" spans="1:6" x14ac:dyDescent="0.25">
      <c r="A12" s="20">
        <v>12628</v>
      </c>
      <c r="B12" s="8" t="s">
        <v>1</v>
      </c>
      <c r="C12" s="8" t="s">
        <v>40</v>
      </c>
      <c r="D12" s="8" t="s">
        <v>41</v>
      </c>
      <c r="E12" s="6">
        <v>4</v>
      </c>
      <c r="F12" s="17">
        <f>LOG10(3.3*10^4)</f>
        <v>4.5185139398778871</v>
      </c>
    </row>
    <row r="13" spans="1:6" x14ac:dyDescent="0.25">
      <c r="A13" s="20">
        <v>12628</v>
      </c>
      <c r="B13" s="8" t="s">
        <v>1</v>
      </c>
      <c r="C13" s="8" t="s">
        <v>40</v>
      </c>
      <c r="D13" s="8" t="s">
        <v>41</v>
      </c>
      <c r="E13" s="6">
        <v>6</v>
      </c>
      <c r="F13" s="17">
        <f>LOG10(2.17*10^4)</f>
        <v>4.3364597338485291</v>
      </c>
    </row>
    <row r="14" spans="1:6" x14ac:dyDescent="0.25">
      <c r="A14" s="20">
        <v>12628</v>
      </c>
      <c r="B14" s="8" t="s">
        <v>1</v>
      </c>
      <c r="C14" s="8" t="s">
        <v>40</v>
      </c>
      <c r="D14" s="8" t="s">
        <v>41</v>
      </c>
      <c r="E14" s="6">
        <v>8</v>
      </c>
      <c r="F14" s="17">
        <f>LOG10(3.35*10^4)</f>
        <v>4.5250448070368456</v>
      </c>
    </row>
    <row r="15" spans="1:6" x14ac:dyDescent="0.25">
      <c r="A15" s="20">
        <v>12628</v>
      </c>
      <c r="B15" s="8" t="s">
        <v>1</v>
      </c>
      <c r="C15" s="8" t="s">
        <v>40</v>
      </c>
      <c r="D15" s="8" t="s">
        <v>41</v>
      </c>
      <c r="E15" s="6">
        <v>10</v>
      </c>
      <c r="F15" s="17">
        <f>LOG10(3.35*10^4)</f>
        <v>4.5250448070368456</v>
      </c>
    </row>
    <row r="16" spans="1:6" x14ac:dyDescent="0.25">
      <c r="A16" s="20">
        <v>12628</v>
      </c>
      <c r="B16" s="8" t="s">
        <v>2</v>
      </c>
      <c r="C16" s="8" t="s">
        <v>40</v>
      </c>
      <c r="D16" s="8" t="s">
        <v>41</v>
      </c>
      <c r="E16" s="6">
        <v>0</v>
      </c>
      <c r="F16" s="17">
        <f>LOG10(3*10^5)</f>
        <v>5.4771212547196626</v>
      </c>
    </row>
    <row r="17" spans="1:6" x14ac:dyDescent="0.25">
      <c r="A17" s="20">
        <v>12628</v>
      </c>
      <c r="B17" s="8" t="s">
        <v>2</v>
      </c>
      <c r="C17" s="8" t="s">
        <v>40</v>
      </c>
      <c r="D17" s="8" t="s">
        <v>41</v>
      </c>
      <c r="E17" s="6">
        <v>1</v>
      </c>
      <c r="F17" s="17">
        <f>LOG10(2.3*10^4)</f>
        <v>4.3617278360175931</v>
      </c>
    </row>
    <row r="18" spans="1:6" x14ac:dyDescent="0.25">
      <c r="A18" s="20">
        <v>12628</v>
      </c>
      <c r="B18" s="8" t="s">
        <v>2</v>
      </c>
      <c r="C18" s="8" t="s">
        <v>40</v>
      </c>
      <c r="D18" s="8" t="s">
        <v>41</v>
      </c>
      <c r="E18" s="6">
        <v>2</v>
      </c>
      <c r="F18" s="17">
        <f>LOG10(3.7*10^4)</f>
        <v>4.568201724066995</v>
      </c>
    </row>
    <row r="19" spans="1:6" x14ac:dyDescent="0.25">
      <c r="A19" s="20">
        <v>12628</v>
      </c>
      <c r="B19" s="8" t="s">
        <v>2</v>
      </c>
      <c r="C19" s="8" t="s">
        <v>40</v>
      </c>
      <c r="D19" s="8" t="s">
        <v>41</v>
      </c>
      <c r="E19" s="6">
        <v>4</v>
      </c>
      <c r="F19" s="17">
        <f>LOG10(1.07*10^4)</f>
        <v>4.0293837776852097</v>
      </c>
    </row>
    <row r="20" spans="1:6" x14ac:dyDescent="0.25">
      <c r="A20" s="20">
        <v>12628</v>
      </c>
      <c r="B20" s="8" t="s">
        <v>2</v>
      </c>
      <c r="C20" s="8" t="s">
        <v>40</v>
      </c>
      <c r="D20" s="8" t="s">
        <v>41</v>
      </c>
      <c r="E20" s="6">
        <v>6</v>
      </c>
      <c r="F20" s="17">
        <f>LOG10(1.6*10^4)</f>
        <v>4.204119982655925</v>
      </c>
    </row>
    <row r="21" spans="1:6" x14ac:dyDescent="0.25">
      <c r="A21" s="20">
        <v>12628</v>
      </c>
      <c r="B21" s="8" t="s">
        <v>2</v>
      </c>
      <c r="C21" s="8" t="s">
        <v>40</v>
      </c>
      <c r="D21" s="8" t="s">
        <v>41</v>
      </c>
      <c r="E21" s="6">
        <v>8</v>
      </c>
      <c r="F21" s="17">
        <f>LOG10(3.5*10^4)</f>
        <v>4.5440680443502757</v>
      </c>
    </row>
    <row r="22" spans="1:6" x14ac:dyDescent="0.25">
      <c r="A22" s="20">
        <v>12628</v>
      </c>
      <c r="B22" s="8" t="s">
        <v>2</v>
      </c>
      <c r="C22" s="8" t="s">
        <v>40</v>
      </c>
      <c r="D22" s="8" t="s">
        <v>41</v>
      </c>
      <c r="E22" s="6">
        <v>10</v>
      </c>
      <c r="F22" s="17">
        <f>LOG10(8.65*10^3)</f>
        <v>3.9370161074648142</v>
      </c>
    </row>
    <row r="23" spans="1:6" x14ac:dyDescent="0.25">
      <c r="A23" s="20">
        <v>12628</v>
      </c>
      <c r="B23" s="8" t="s">
        <v>0</v>
      </c>
      <c r="C23" s="8" t="s">
        <v>42</v>
      </c>
      <c r="D23" s="9" t="s">
        <v>41</v>
      </c>
      <c r="E23" s="6">
        <v>0</v>
      </c>
      <c r="F23" s="17">
        <f>LOG10(4.7*10^5)</f>
        <v>5.6720978579357171</v>
      </c>
    </row>
    <row r="24" spans="1:6" x14ac:dyDescent="0.25">
      <c r="A24" s="20">
        <v>12628</v>
      </c>
      <c r="B24" s="8" t="s">
        <v>0</v>
      </c>
      <c r="C24" s="8" t="s">
        <v>42</v>
      </c>
      <c r="D24" s="9" t="s">
        <v>41</v>
      </c>
      <c r="E24" s="6">
        <v>1</v>
      </c>
      <c r="F24" s="17">
        <f>LOG10(1*10^5)</f>
        <v>5</v>
      </c>
    </row>
    <row r="25" spans="1:6" x14ac:dyDescent="0.25">
      <c r="A25" s="20">
        <v>12628</v>
      </c>
      <c r="B25" s="8" t="s">
        <v>0</v>
      </c>
      <c r="C25" s="8" t="s">
        <v>42</v>
      </c>
      <c r="D25" s="9" t="s">
        <v>41</v>
      </c>
      <c r="E25" s="6">
        <v>2</v>
      </c>
      <c r="F25" s="17">
        <f>LOG10(4.7*10^4)</f>
        <v>4.6720978579357171</v>
      </c>
    </row>
    <row r="26" spans="1:6" x14ac:dyDescent="0.25">
      <c r="A26" s="20">
        <v>12628</v>
      </c>
      <c r="B26" s="8" t="s">
        <v>0</v>
      </c>
      <c r="C26" s="8" t="s">
        <v>42</v>
      </c>
      <c r="D26" s="9" t="s">
        <v>41</v>
      </c>
      <c r="E26" s="6">
        <v>4</v>
      </c>
      <c r="F26" s="17">
        <f>LOG10(5*10^4)</f>
        <v>4.6989700043360187</v>
      </c>
    </row>
    <row r="27" spans="1:6" x14ac:dyDescent="0.25">
      <c r="A27" s="20">
        <v>12628</v>
      </c>
      <c r="B27" s="8" t="s">
        <v>0</v>
      </c>
      <c r="C27" s="8" t="s">
        <v>42</v>
      </c>
      <c r="D27" s="9" t="s">
        <v>41</v>
      </c>
      <c r="E27" s="6">
        <v>6</v>
      </c>
      <c r="F27" s="17">
        <f>LOG10(1.4*10^3)</f>
        <v>3.1461280356782382</v>
      </c>
    </row>
    <row r="28" spans="1:6" x14ac:dyDescent="0.25">
      <c r="A28" s="20">
        <v>12628</v>
      </c>
      <c r="B28" s="8" t="s">
        <v>0</v>
      </c>
      <c r="C28" s="8" t="s">
        <v>42</v>
      </c>
      <c r="D28" s="9" t="s">
        <v>41</v>
      </c>
      <c r="E28" s="6">
        <v>8</v>
      </c>
      <c r="F28" s="17">
        <f>LOG10(4.85*10^3)</f>
        <v>3.6857417386022635</v>
      </c>
    </row>
    <row r="29" spans="1:6" x14ac:dyDescent="0.25">
      <c r="A29" s="20">
        <v>12628</v>
      </c>
      <c r="B29" s="8" t="s">
        <v>0</v>
      </c>
      <c r="C29" s="8" t="s">
        <v>42</v>
      </c>
      <c r="D29" s="9" t="s">
        <v>41</v>
      </c>
      <c r="E29" s="6">
        <v>10</v>
      </c>
      <c r="F29" s="17">
        <f>LOG10(4.35*10^3)</f>
        <v>3.6384892569546374</v>
      </c>
    </row>
    <row r="30" spans="1:6" x14ac:dyDescent="0.25">
      <c r="A30" s="20">
        <v>12628</v>
      </c>
      <c r="B30" s="8" t="s">
        <v>1</v>
      </c>
      <c r="C30" s="8" t="s">
        <v>42</v>
      </c>
      <c r="D30" s="9" t="s">
        <v>41</v>
      </c>
      <c r="E30" s="6">
        <v>0</v>
      </c>
      <c r="F30" s="17">
        <f>LOG10(6.7*10^5)</f>
        <v>5.826074802700826</v>
      </c>
    </row>
    <row r="31" spans="1:6" x14ac:dyDescent="0.25">
      <c r="A31" s="20">
        <v>12628</v>
      </c>
      <c r="B31" s="8" t="s">
        <v>1</v>
      </c>
      <c r="C31" s="8" t="s">
        <v>42</v>
      </c>
      <c r="D31" s="9" t="s">
        <v>41</v>
      </c>
      <c r="E31" s="6">
        <v>1</v>
      </c>
      <c r="F31" s="17">
        <f>LOG10(7*10^4)</f>
        <v>4.8450980400142569</v>
      </c>
    </row>
    <row r="32" spans="1:6" x14ac:dyDescent="0.25">
      <c r="A32" s="20">
        <v>12628</v>
      </c>
      <c r="B32" s="8" t="s">
        <v>1</v>
      </c>
      <c r="C32" s="8" t="s">
        <v>42</v>
      </c>
      <c r="D32" s="9" t="s">
        <v>41</v>
      </c>
      <c r="E32" s="6">
        <v>2</v>
      </c>
      <c r="F32" s="17">
        <f>LOG10(1.13*10^4)</f>
        <v>4.0530784434834199</v>
      </c>
    </row>
    <row r="33" spans="1:6" x14ac:dyDescent="0.25">
      <c r="A33" s="20">
        <v>12628</v>
      </c>
      <c r="B33" s="8" t="s">
        <v>1</v>
      </c>
      <c r="C33" s="8" t="s">
        <v>42</v>
      </c>
      <c r="D33" s="9" t="s">
        <v>41</v>
      </c>
      <c r="E33" s="6">
        <v>4</v>
      </c>
      <c r="F33" s="17">
        <f>LOG10(3*10^4)</f>
        <v>4.4771212547196626</v>
      </c>
    </row>
    <row r="34" spans="1:6" x14ac:dyDescent="0.25">
      <c r="A34" s="20">
        <v>12628</v>
      </c>
      <c r="B34" s="8" t="s">
        <v>1</v>
      </c>
      <c r="C34" s="8" t="s">
        <v>42</v>
      </c>
      <c r="D34" s="9" t="s">
        <v>41</v>
      </c>
      <c r="E34" s="6">
        <v>6</v>
      </c>
      <c r="F34" s="17">
        <f>LOG10(3.3*10^4)</f>
        <v>4.5185139398778871</v>
      </c>
    </row>
    <row r="35" spans="1:6" x14ac:dyDescent="0.25">
      <c r="A35" s="20">
        <v>12628</v>
      </c>
      <c r="B35" s="8" t="s">
        <v>1</v>
      </c>
      <c r="C35" s="8" t="s">
        <v>42</v>
      </c>
      <c r="D35" s="9" t="s">
        <v>41</v>
      </c>
      <c r="E35" s="6">
        <v>8</v>
      </c>
      <c r="F35" s="17">
        <f>LOG10(5.35*10^4)</f>
        <v>4.7283537820212285</v>
      </c>
    </row>
    <row r="36" spans="1:6" x14ac:dyDescent="0.25">
      <c r="A36" s="20">
        <v>12628</v>
      </c>
      <c r="B36" s="8" t="s">
        <v>1</v>
      </c>
      <c r="C36" s="8" t="s">
        <v>42</v>
      </c>
      <c r="D36" s="9" t="s">
        <v>41</v>
      </c>
      <c r="E36" s="6">
        <v>10</v>
      </c>
      <c r="F36" s="17">
        <f>LOG10(1.1*10^4)</f>
        <v>4.0413926851582254</v>
      </c>
    </row>
    <row r="37" spans="1:6" x14ac:dyDescent="0.25">
      <c r="A37" s="20">
        <v>12628</v>
      </c>
      <c r="B37" s="8" t="s">
        <v>2</v>
      </c>
      <c r="C37" s="8" t="s">
        <v>42</v>
      </c>
      <c r="D37" s="9" t="s">
        <v>41</v>
      </c>
      <c r="E37" s="6">
        <v>0</v>
      </c>
      <c r="F37" s="17">
        <f>LOG10(8.3*10^5)</f>
        <v>5.9190780923760737</v>
      </c>
    </row>
    <row r="38" spans="1:6" x14ac:dyDescent="0.25">
      <c r="A38" s="20">
        <v>12628</v>
      </c>
      <c r="B38" s="8" t="s">
        <v>2</v>
      </c>
      <c r="C38" s="8" t="s">
        <v>42</v>
      </c>
      <c r="D38" s="9" t="s">
        <v>41</v>
      </c>
      <c r="E38" s="6">
        <v>1</v>
      </c>
      <c r="F38" s="17">
        <f>LOG10(1.23*10^5)</f>
        <v>5.0899051114393981</v>
      </c>
    </row>
    <row r="39" spans="1:6" x14ac:dyDescent="0.25">
      <c r="A39" s="20">
        <v>12628</v>
      </c>
      <c r="B39" s="8" t="s">
        <v>2</v>
      </c>
      <c r="C39" s="8" t="s">
        <v>42</v>
      </c>
      <c r="D39" s="9" t="s">
        <v>41</v>
      </c>
      <c r="E39" s="6">
        <v>2</v>
      </c>
      <c r="F39" s="17">
        <f>LOG10(1.67*10^4)</f>
        <v>4.2227164711475833</v>
      </c>
    </row>
    <row r="40" spans="1:6" x14ac:dyDescent="0.25">
      <c r="A40" s="20">
        <v>12628</v>
      </c>
      <c r="B40" s="8" t="s">
        <v>2</v>
      </c>
      <c r="C40" s="8" t="s">
        <v>42</v>
      </c>
      <c r="D40" s="9" t="s">
        <v>41</v>
      </c>
      <c r="E40" s="6">
        <v>4</v>
      </c>
      <c r="F40" s="17">
        <f>LOG10(3.37*10^4)</f>
        <v>4.5276299008713385</v>
      </c>
    </row>
    <row r="41" spans="1:6" x14ac:dyDescent="0.25">
      <c r="A41" s="20">
        <v>12628</v>
      </c>
      <c r="B41" s="8" t="s">
        <v>2</v>
      </c>
      <c r="C41" s="8" t="s">
        <v>42</v>
      </c>
      <c r="D41" s="9" t="s">
        <v>41</v>
      </c>
      <c r="E41" s="6">
        <v>6</v>
      </c>
      <c r="F41" s="17">
        <f>LOG10(1.83*10^4)</f>
        <v>4.2624510897304297</v>
      </c>
    </row>
    <row r="42" spans="1:6" x14ac:dyDescent="0.25">
      <c r="A42" s="20">
        <v>12628</v>
      </c>
      <c r="B42" s="8" t="s">
        <v>2</v>
      </c>
      <c r="C42" s="8" t="s">
        <v>42</v>
      </c>
      <c r="D42" s="9" t="s">
        <v>41</v>
      </c>
      <c r="E42" s="6">
        <v>8</v>
      </c>
      <c r="F42" s="17">
        <f>LOG10(1.85*10^4)</f>
        <v>4.2671717284030137</v>
      </c>
    </row>
    <row r="43" spans="1:6" x14ac:dyDescent="0.25">
      <c r="A43" s="20">
        <v>12628</v>
      </c>
      <c r="B43" s="8" t="s">
        <v>2</v>
      </c>
      <c r="C43" s="8" t="s">
        <v>42</v>
      </c>
      <c r="D43" s="9" t="s">
        <v>41</v>
      </c>
      <c r="E43" s="6">
        <v>10</v>
      </c>
      <c r="F43" s="17">
        <f>LOG10(4*10^4)</f>
        <v>4.6020599913279625</v>
      </c>
    </row>
    <row r="44" spans="1:6" x14ac:dyDescent="0.25">
      <c r="A44" s="21">
        <v>12662</v>
      </c>
      <c r="B44" s="16" t="s">
        <v>0</v>
      </c>
      <c r="C44" s="16" t="s">
        <v>40</v>
      </c>
      <c r="D44" s="16" t="s">
        <v>41</v>
      </c>
      <c r="E44" s="10">
        <v>0</v>
      </c>
      <c r="F44" s="18">
        <f>LOG10(2.17*10^5)</f>
        <v>5.3364597338485291</v>
      </c>
    </row>
    <row r="45" spans="1:6" x14ac:dyDescent="0.25">
      <c r="A45" s="21">
        <v>12662</v>
      </c>
      <c r="B45" s="16" t="s">
        <v>0</v>
      </c>
      <c r="C45" s="16" t="s">
        <v>40</v>
      </c>
      <c r="D45" s="16" t="s">
        <v>41</v>
      </c>
      <c r="E45" s="10">
        <v>1</v>
      </c>
      <c r="F45" s="18">
        <f>LOG10(2.7*10^4)</f>
        <v>4.4313637641589869</v>
      </c>
    </row>
    <row r="46" spans="1:6" x14ac:dyDescent="0.25">
      <c r="A46" s="21">
        <v>12662</v>
      </c>
      <c r="B46" s="16" t="s">
        <v>0</v>
      </c>
      <c r="C46" s="16" t="s">
        <v>40</v>
      </c>
      <c r="D46" s="16" t="s">
        <v>41</v>
      </c>
      <c r="E46" s="10">
        <v>2</v>
      </c>
      <c r="F46" s="18">
        <f>LOG10(7.3*10^3)</f>
        <v>3.8633228601204559</v>
      </c>
    </row>
    <row r="47" spans="1:6" x14ac:dyDescent="0.25">
      <c r="A47" s="21">
        <v>12662</v>
      </c>
      <c r="B47" s="16" t="s">
        <v>0</v>
      </c>
      <c r="C47" s="16" t="s">
        <v>40</v>
      </c>
      <c r="D47" s="16" t="s">
        <v>41</v>
      </c>
      <c r="E47" s="10">
        <v>4</v>
      </c>
      <c r="F47" s="18">
        <f>LOG10(1.67*10^4)</f>
        <v>4.2227164711475833</v>
      </c>
    </row>
    <row r="48" spans="1:6" x14ac:dyDescent="0.25">
      <c r="A48" s="21">
        <v>12662</v>
      </c>
      <c r="B48" s="16" t="s">
        <v>0</v>
      </c>
      <c r="C48" s="16" t="s">
        <v>40</v>
      </c>
      <c r="D48" s="16" t="s">
        <v>41</v>
      </c>
      <c r="E48" s="10">
        <v>6</v>
      </c>
      <c r="F48" s="18">
        <f>LOG10(1.83*10^4)</f>
        <v>4.2624510897304297</v>
      </c>
    </row>
    <row r="49" spans="1:6" x14ac:dyDescent="0.25">
      <c r="A49" s="21">
        <v>12662</v>
      </c>
      <c r="B49" s="16" t="s">
        <v>0</v>
      </c>
      <c r="C49" s="16" t="s">
        <v>40</v>
      </c>
      <c r="D49" s="16" t="s">
        <v>41</v>
      </c>
      <c r="E49" s="10">
        <v>8</v>
      </c>
      <c r="F49" s="18">
        <f>LOG10(3.5*10^3)</f>
        <v>3.5440680443502757</v>
      </c>
    </row>
    <row r="50" spans="1:6" x14ac:dyDescent="0.25">
      <c r="A50" s="21">
        <v>12662</v>
      </c>
      <c r="B50" s="16" t="s">
        <v>0</v>
      </c>
      <c r="C50" s="16" t="s">
        <v>40</v>
      </c>
      <c r="D50" s="16" t="s">
        <v>41</v>
      </c>
      <c r="E50" s="10">
        <v>10</v>
      </c>
      <c r="F50" s="18">
        <f>LOG10(1.235*10^4)</f>
        <v>4.0916669575956846</v>
      </c>
    </row>
    <row r="51" spans="1:6" x14ac:dyDescent="0.25">
      <c r="A51" s="21">
        <v>12662</v>
      </c>
      <c r="B51" s="16" t="s">
        <v>1</v>
      </c>
      <c r="C51" s="16" t="s">
        <v>40</v>
      </c>
      <c r="D51" s="16" t="s">
        <v>41</v>
      </c>
      <c r="E51" s="10">
        <v>0</v>
      </c>
      <c r="F51" s="18">
        <f>LOG10(3*10^5)</f>
        <v>5.4771212547196626</v>
      </c>
    </row>
    <row r="52" spans="1:6" x14ac:dyDescent="0.25">
      <c r="A52" s="21">
        <v>12662</v>
      </c>
      <c r="B52" s="16" t="s">
        <v>1</v>
      </c>
      <c r="C52" s="16" t="s">
        <v>40</v>
      </c>
      <c r="D52" s="16" t="s">
        <v>41</v>
      </c>
      <c r="E52" s="10">
        <v>1</v>
      </c>
      <c r="F52" s="18">
        <f>LOG10(9.7*10^3)</f>
        <v>3.9867717342662448</v>
      </c>
    </row>
    <row r="53" spans="1:6" x14ac:dyDescent="0.25">
      <c r="A53" s="21">
        <v>12662</v>
      </c>
      <c r="B53" s="16" t="s">
        <v>1</v>
      </c>
      <c r="C53" s="16" t="s">
        <v>40</v>
      </c>
      <c r="D53" s="16" t="s">
        <v>41</v>
      </c>
      <c r="E53" s="10">
        <v>2</v>
      </c>
      <c r="F53" s="18">
        <f>LOG10(1.8*10^3)</f>
        <v>3.255272505103306</v>
      </c>
    </row>
    <row r="54" spans="1:6" x14ac:dyDescent="0.25">
      <c r="A54" s="21">
        <v>12662</v>
      </c>
      <c r="B54" s="16" t="s">
        <v>1</v>
      </c>
      <c r="C54" s="16" t="s">
        <v>40</v>
      </c>
      <c r="D54" s="16" t="s">
        <v>41</v>
      </c>
      <c r="E54" s="10">
        <v>4</v>
      </c>
      <c r="F54" s="18">
        <f>LOG10(1.9*10^3)</f>
        <v>3.2787536009528289</v>
      </c>
    </row>
    <row r="55" spans="1:6" x14ac:dyDescent="0.25">
      <c r="A55" s="21">
        <v>12662</v>
      </c>
      <c r="B55" s="16" t="s">
        <v>1</v>
      </c>
      <c r="C55" s="16" t="s">
        <v>40</v>
      </c>
      <c r="D55" s="16" t="s">
        <v>41</v>
      </c>
      <c r="E55" s="10">
        <v>6</v>
      </c>
      <c r="F55" s="18">
        <f>LOG10(2.5*10^3)</f>
        <v>3.3979400086720375</v>
      </c>
    </row>
    <row r="56" spans="1:6" x14ac:dyDescent="0.25">
      <c r="A56" s="21">
        <v>12662</v>
      </c>
      <c r="B56" s="16" t="s">
        <v>1</v>
      </c>
      <c r="C56" s="16" t="s">
        <v>40</v>
      </c>
      <c r="D56" s="16" t="s">
        <v>41</v>
      </c>
      <c r="E56" s="10">
        <v>8</v>
      </c>
      <c r="F56" s="18">
        <f>LOG10(2.65*10^3)</f>
        <v>3.4232458739368079</v>
      </c>
    </row>
    <row r="57" spans="1:6" x14ac:dyDescent="0.25">
      <c r="A57" s="21">
        <v>12662</v>
      </c>
      <c r="B57" s="16" t="s">
        <v>1</v>
      </c>
      <c r="C57" s="16" t="s">
        <v>40</v>
      </c>
      <c r="D57" s="16" t="s">
        <v>41</v>
      </c>
      <c r="E57" s="10">
        <v>10</v>
      </c>
      <c r="F57" s="18">
        <f>LOG10(4.85*10^3)</f>
        <v>3.6857417386022635</v>
      </c>
    </row>
    <row r="58" spans="1:6" x14ac:dyDescent="0.25">
      <c r="A58" s="21">
        <v>12662</v>
      </c>
      <c r="B58" s="16" t="s">
        <v>2</v>
      </c>
      <c r="C58" s="16" t="s">
        <v>40</v>
      </c>
      <c r="D58" s="16" t="s">
        <v>41</v>
      </c>
      <c r="E58" s="10">
        <v>0</v>
      </c>
      <c r="F58" s="18">
        <f>LOG10(2.07*10^4)</f>
        <v>4.3159703454569174</v>
      </c>
    </row>
    <row r="59" spans="1:6" x14ac:dyDescent="0.25">
      <c r="A59" s="21">
        <v>12662</v>
      </c>
      <c r="B59" s="16" t="s">
        <v>2</v>
      </c>
      <c r="C59" s="16" t="s">
        <v>40</v>
      </c>
      <c r="D59" s="16" t="s">
        <v>41</v>
      </c>
      <c r="E59" s="10">
        <v>1</v>
      </c>
      <c r="F59" s="18">
        <f>LOG10(9*10^3)</f>
        <v>3.9542425094393248</v>
      </c>
    </row>
    <row r="60" spans="1:6" x14ac:dyDescent="0.25">
      <c r="A60" s="21">
        <v>12662</v>
      </c>
      <c r="B60" s="16" t="s">
        <v>2</v>
      </c>
      <c r="C60" s="16" t="s">
        <v>40</v>
      </c>
      <c r="D60" s="16" t="s">
        <v>41</v>
      </c>
      <c r="E60" s="10">
        <v>2</v>
      </c>
      <c r="F60" s="18">
        <f>LOG10(4.7*10^3)</f>
        <v>3.6720978579357175</v>
      </c>
    </row>
    <row r="61" spans="1:6" x14ac:dyDescent="0.25">
      <c r="A61" s="21">
        <v>12662</v>
      </c>
      <c r="B61" s="16" t="s">
        <v>2</v>
      </c>
      <c r="C61" s="16" t="s">
        <v>40</v>
      </c>
      <c r="D61" s="16" t="s">
        <v>41</v>
      </c>
      <c r="E61" s="10">
        <v>4</v>
      </c>
      <c r="F61" s="18">
        <f>LOG10(1.03*10^4)</f>
        <v>4.012837224705172</v>
      </c>
    </row>
    <row r="62" spans="1:6" x14ac:dyDescent="0.25">
      <c r="A62" s="21">
        <v>12662</v>
      </c>
      <c r="B62" s="16" t="s">
        <v>2</v>
      </c>
      <c r="C62" s="16" t="s">
        <v>40</v>
      </c>
      <c r="D62" s="16" t="s">
        <v>41</v>
      </c>
      <c r="E62" s="10">
        <v>6</v>
      </c>
      <c r="F62" s="18">
        <f>LOG10(1.43*10^3)</f>
        <v>3.1553360374650619</v>
      </c>
    </row>
    <row r="63" spans="1:6" x14ac:dyDescent="0.25">
      <c r="A63" s="21">
        <v>12662</v>
      </c>
      <c r="B63" s="16" t="s">
        <v>2</v>
      </c>
      <c r="C63" s="16" t="s">
        <v>40</v>
      </c>
      <c r="D63" s="16" t="s">
        <v>41</v>
      </c>
      <c r="E63" s="10">
        <v>8</v>
      </c>
      <c r="F63" s="18">
        <f>LOG10(7.35*10^3)</f>
        <v>3.8662873390841948</v>
      </c>
    </row>
    <row r="64" spans="1:6" x14ac:dyDescent="0.25">
      <c r="A64" s="21">
        <v>12662</v>
      </c>
      <c r="B64" s="16" t="s">
        <v>2</v>
      </c>
      <c r="C64" s="16" t="s">
        <v>40</v>
      </c>
      <c r="D64" s="16" t="s">
        <v>41</v>
      </c>
      <c r="E64" s="10">
        <v>10</v>
      </c>
      <c r="F64" s="18">
        <f>LOG10(4.5*10^3)</f>
        <v>3.6532125137753435</v>
      </c>
    </row>
    <row r="65" spans="1:6" x14ac:dyDescent="0.25">
      <c r="A65" s="20">
        <v>12662</v>
      </c>
      <c r="B65" s="8" t="s">
        <v>0</v>
      </c>
      <c r="C65" s="8" t="s">
        <v>42</v>
      </c>
      <c r="D65" s="8" t="s">
        <v>44</v>
      </c>
      <c r="E65" s="6">
        <v>0</v>
      </c>
      <c r="F65" s="18">
        <f>LOG10(1.97*10^5)</f>
        <v>5.2944662261615933</v>
      </c>
    </row>
    <row r="66" spans="1:6" x14ac:dyDescent="0.25">
      <c r="A66" s="20">
        <v>12662</v>
      </c>
      <c r="B66" s="8" t="s">
        <v>0</v>
      </c>
      <c r="C66" s="8" t="s">
        <v>42</v>
      </c>
      <c r="D66" s="8" t="s">
        <v>44</v>
      </c>
      <c r="E66" s="6">
        <v>1</v>
      </c>
      <c r="F66" s="18">
        <f>LOG10(3*10^5)</f>
        <v>5.4771212547196626</v>
      </c>
    </row>
    <row r="67" spans="1:6" x14ac:dyDescent="0.25">
      <c r="A67" s="20">
        <v>12662</v>
      </c>
      <c r="B67" s="8" t="s">
        <v>0</v>
      </c>
      <c r="C67" s="8" t="s">
        <v>42</v>
      </c>
      <c r="D67" s="8" t="s">
        <v>44</v>
      </c>
      <c r="E67" s="6">
        <v>2</v>
      </c>
      <c r="F67" s="18">
        <f>LOG10(4.3*10^4)</f>
        <v>4.6334684555795862</v>
      </c>
    </row>
    <row r="68" spans="1:6" x14ac:dyDescent="0.25">
      <c r="A68" s="20">
        <v>12662</v>
      </c>
      <c r="B68" s="8" t="s">
        <v>0</v>
      </c>
      <c r="C68" s="8" t="s">
        <v>42</v>
      </c>
      <c r="D68" s="8" t="s">
        <v>44</v>
      </c>
      <c r="E68" s="6">
        <v>4</v>
      </c>
      <c r="F68" s="18">
        <f>LOG10(1*10^4)</f>
        <v>4</v>
      </c>
    </row>
    <row r="69" spans="1:6" x14ac:dyDescent="0.25">
      <c r="A69" s="20">
        <v>12662</v>
      </c>
      <c r="B69" s="8" t="s">
        <v>0</v>
      </c>
      <c r="C69" s="8" t="s">
        <v>42</v>
      </c>
      <c r="D69" s="8" t="s">
        <v>44</v>
      </c>
      <c r="E69" s="6">
        <v>6</v>
      </c>
      <c r="F69" s="18">
        <f>LOG10(4.3*10^3)</f>
        <v>3.6334684555795866</v>
      </c>
    </row>
    <row r="70" spans="1:6" x14ac:dyDescent="0.25">
      <c r="A70" s="20">
        <v>12662</v>
      </c>
      <c r="B70" s="8" t="s">
        <v>0</v>
      </c>
      <c r="C70" s="8" t="s">
        <v>42</v>
      </c>
      <c r="D70" s="8" t="s">
        <v>44</v>
      </c>
      <c r="E70" s="6">
        <v>8</v>
      </c>
      <c r="F70" s="18">
        <f>LOG10(7.65*10^3)</f>
        <v>3.8836614351536176</v>
      </c>
    </row>
    <row r="71" spans="1:6" x14ac:dyDescent="0.25">
      <c r="A71" s="20">
        <v>12662</v>
      </c>
      <c r="B71" s="8" t="s">
        <v>0</v>
      </c>
      <c r="C71" s="8" t="s">
        <v>42</v>
      </c>
      <c r="D71" s="8" t="s">
        <v>44</v>
      </c>
      <c r="E71" s="6">
        <v>10</v>
      </c>
      <c r="F71" s="18">
        <f>LOG10(8.65*10^3)</f>
        <v>3.9370161074648142</v>
      </c>
    </row>
    <row r="72" spans="1:6" x14ac:dyDescent="0.25">
      <c r="A72" s="20">
        <v>12662</v>
      </c>
      <c r="B72" s="8" t="s">
        <v>1</v>
      </c>
      <c r="C72" s="8" t="s">
        <v>42</v>
      </c>
      <c r="D72" s="8" t="s">
        <v>44</v>
      </c>
      <c r="E72" s="6">
        <v>0</v>
      </c>
      <c r="F72" s="18">
        <f>LOG10(2.7*10^5)</f>
        <v>5.4313637641589869</v>
      </c>
    </row>
    <row r="73" spans="1:6" x14ac:dyDescent="0.25">
      <c r="A73" s="20">
        <v>12662</v>
      </c>
      <c r="B73" s="8" t="s">
        <v>1</v>
      </c>
      <c r="C73" s="8" t="s">
        <v>42</v>
      </c>
      <c r="D73" s="8" t="s">
        <v>44</v>
      </c>
      <c r="E73" s="6">
        <v>1</v>
      </c>
      <c r="F73" s="18">
        <f>LOG10(8.3*10^4)</f>
        <v>4.9190780923760737</v>
      </c>
    </row>
    <row r="74" spans="1:6" x14ac:dyDescent="0.25">
      <c r="A74" s="20">
        <v>12662</v>
      </c>
      <c r="B74" s="8" t="s">
        <v>1</v>
      </c>
      <c r="C74" s="8" t="s">
        <v>42</v>
      </c>
      <c r="D74" s="8" t="s">
        <v>44</v>
      </c>
      <c r="E74" s="6">
        <v>2</v>
      </c>
      <c r="F74" s="18">
        <f>LOG10(6.3*10^3)</f>
        <v>3.7993405494535817</v>
      </c>
    </row>
    <row r="75" spans="1:6" x14ac:dyDescent="0.25">
      <c r="A75" s="20">
        <v>12662</v>
      </c>
      <c r="B75" s="8" t="s">
        <v>1</v>
      </c>
      <c r="C75" s="8" t="s">
        <v>42</v>
      </c>
      <c r="D75" s="8" t="s">
        <v>44</v>
      </c>
      <c r="E75" s="6">
        <v>5</v>
      </c>
      <c r="F75" s="18">
        <f>LOG10(4.7*10^3)</f>
        <v>3.6720978579357175</v>
      </c>
    </row>
    <row r="76" spans="1:6" x14ac:dyDescent="0.25">
      <c r="A76" s="20">
        <v>12662</v>
      </c>
      <c r="B76" s="8" t="s">
        <v>1</v>
      </c>
      <c r="C76" s="8" t="s">
        <v>42</v>
      </c>
      <c r="D76" s="8" t="s">
        <v>44</v>
      </c>
      <c r="E76" s="6">
        <v>8</v>
      </c>
      <c r="F76" s="18">
        <f>LOG10(11.15*10^3)</f>
        <v>4.0472748673841794</v>
      </c>
    </row>
    <row r="77" spans="1:6" x14ac:dyDescent="0.25">
      <c r="A77" s="20">
        <v>12662</v>
      </c>
      <c r="B77" s="8" t="s">
        <v>1</v>
      </c>
      <c r="C77" s="8" t="s">
        <v>42</v>
      </c>
      <c r="D77" s="8" t="s">
        <v>44</v>
      </c>
      <c r="E77" s="6">
        <v>10</v>
      </c>
      <c r="F77" s="18">
        <f>LOG10(5.65*10^3)</f>
        <v>3.7520484478194387</v>
      </c>
    </row>
    <row r="78" spans="1:6" x14ac:dyDescent="0.25">
      <c r="A78" s="20">
        <v>12662</v>
      </c>
      <c r="B78" s="8" t="s">
        <v>2</v>
      </c>
      <c r="C78" s="8" t="s">
        <v>42</v>
      </c>
      <c r="D78" s="8" t="s">
        <v>44</v>
      </c>
      <c r="E78" s="6">
        <v>0</v>
      </c>
      <c r="F78" s="18">
        <f>LOG10(5.3*10^5)</f>
        <v>5.7242758696007892</v>
      </c>
    </row>
    <row r="79" spans="1:6" x14ac:dyDescent="0.25">
      <c r="A79" s="20">
        <v>12662</v>
      </c>
      <c r="B79" s="8" t="s">
        <v>2</v>
      </c>
      <c r="C79" s="8" t="s">
        <v>42</v>
      </c>
      <c r="D79" s="8" t="s">
        <v>44</v>
      </c>
      <c r="E79" s="6">
        <v>1</v>
      </c>
      <c r="F79" s="18">
        <f>LOG10(4.3*10^4)</f>
        <v>4.6334684555795862</v>
      </c>
    </row>
    <row r="80" spans="1:6" x14ac:dyDescent="0.25">
      <c r="A80" s="20">
        <v>12662</v>
      </c>
      <c r="B80" s="8" t="s">
        <v>2</v>
      </c>
      <c r="C80" s="8" t="s">
        <v>42</v>
      </c>
      <c r="D80" s="8" t="s">
        <v>44</v>
      </c>
      <c r="E80" s="6">
        <v>2</v>
      </c>
      <c r="F80" s="18">
        <f>LOG10(5.7*10^4)</f>
        <v>4.7558748556724915</v>
      </c>
    </row>
    <row r="81" spans="1:6" x14ac:dyDescent="0.25">
      <c r="A81" s="20">
        <v>12662</v>
      </c>
      <c r="B81" s="8" t="s">
        <v>2</v>
      </c>
      <c r="C81" s="8" t="s">
        <v>42</v>
      </c>
      <c r="D81" s="8" t="s">
        <v>44</v>
      </c>
      <c r="E81" s="6">
        <v>4</v>
      </c>
      <c r="F81" s="18">
        <f>LOG10(1.8*10^4)</f>
        <v>4.2552725051033065</v>
      </c>
    </row>
    <row r="82" spans="1:6" x14ac:dyDescent="0.25">
      <c r="A82" s="20">
        <v>12662</v>
      </c>
      <c r="B82" s="8" t="s">
        <v>2</v>
      </c>
      <c r="C82" s="8" t="s">
        <v>42</v>
      </c>
      <c r="D82" s="8" t="s">
        <v>44</v>
      </c>
      <c r="E82" s="6">
        <v>6</v>
      </c>
      <c r="F82" s="18">
        <v>4</v>
      </c>
    </row>
    <row r="83" spans="1:6" x14ac:dyDescent="0.25">
      <c r="A83" s="20">
        <v>12662</v>
      </c>
      <c r="B83" s="8" t="s">
        <v>2</v>
      </c>
      <c r="C83" s="8" t="s">
        <v>42</v>
      </c>
      <c r="D83" s="8" t="s">
        <v>44</v>
      </c>
      <c r="E83" s="6">
        <v>8</v>
      </c>
      <c r="F83" s="18">
        <f>LOG10(9.85*10^3)</f>
        <v>3.9934362304976116</v>
      </c>
    </row>
    <row r="84" spans="1:6" x14ac:dyDescent="0.25">
      <c r="A84" s="20">
        <v>12662</v>
      </c>
      <c r="B84" s="8" t="s">
        <v>2</v>
      </c>
      <c r="C84" s="8" t="s">
        <v>42</v>
      </c>
      <c r="D84" s="8" t="s">
        <v>44</v>
      </c>
      <c r="E84" s="6">
        <v>10</v>
      </c>
      <c r="F84" s="18">
        <f>LOG10(9.85*10^3)</f>
        <v>3.9934362304976116</v>
      </c>
    </row>
    <row r="85" spans="1:6" x14ac:dyDescent="0.25">
      <c r="A85" s="20">
        <v>13126</v>
      </c>
      <c r="B85" s="8" t="s">
        <v>0</v>
      </c>
      <c r="C85" s="8" t="s">
        <v>40</v>
      </c>
      <c r="D85" s="8" t="s">
        <v>41</v>
      </c>
      <c r="E85" s="6">
        <v>0</v>
      </c>
      <c r="F85" s="17">
        <f>LOG10(2.57*10^5)</f>
        <v>5.4099331233312942</v>
      </c>
    </row>
    <row r="86" spans="1:6" x14ac:dyDescent="0.25">
      <c r="A86" s="20">
        <v>13126</v>
      </c>
      <c r="B86" s="8" t="s">
        <v>0</v>
      </c>
      <c r="C86" s="8" t="s">
        <v>40</v>
      </c>
      <c r="D86" s="8" t="s">
        <v>41</v>
      </c>
      <c r="E86" s="6">
        <v>1</v>
      </c>
      <c r="F86" s="17">
        <f>LOG10(4*10^3)</f>
        <v>3.6020599913279625</v>
      </c>
    </row>
    <row r="87" spans="1:6" x14ac:dyDescent="0.25">
      <c r="A87" s="20">
        <v>13126</v>
      </c>
      <c r="B87" s="8" t="s">
        <v>0</v>
      </c>
      <c r="C87" s="8" t="s">
        <v>40</v>
      </c>
      <c r="D87" s="8" t="s">
        <v>41</v>
      </c>
      <c r="E87" s="6">
        <v>2</v>
      </c>
      <c r="F87" s="17">
        <f>LOG10(3*10^3)</f>
        <v>3.4771212547196626</v>
      </c>
    </row>
    <row r="88" spans="1:6" x14ac:dyDescent="0.25">
      <c r="A88" s="20">
        <v>13126</v>
      </c>
      <c r="B88" s="8" t="s">
        <v>0</v>
      </c>
      <c r="C88" s="8" t="s">
        <v>40</v>
      </c>
      <c r="D88" s="8" t="s">
        <v>41</v>
      </c>
      <c r="E88" s="6">
        <v>4</v>
      </c>
      <c r="F88" s="17">
        <f>LOG10(1.9*10^3)</f>
        <v>3.2787536009528289</v>
      </c>
    </row>
    <row r="89" spans="1:6" x14ac:dyDescent="0.25">
      <c r="A89" s="20">
        <v>13126</v>
      </c>
      <c r="B89" s="8" t="s">
        <v>0</v>
      </c>
      <c r="C89" s="8" t="s">
        <v>40</v>
      </c>
      <c r="D89" s="8" t="s">
        <v>41</v>
      </c>
      <c r="E89" s="6">
        <v>6</v>
      </c>
      <c r="F89" s="17">
        <f>LOG10(1.27*10^4)</f>
        <v>4.1038037209559572</v>
      </c>
    </row>
    <row r="90" spans="1:6" x14ac:dyDescent="0.25">
      <c r="A90" s="20">
        <v>13126</v>
      </c>
      <c r="B90" s="8" t="s">
        <v>0</v>
      </c>
      <c r="C90" s="8" t="s">
        <v>40</v>
      </c>
      <c r="D90" s="8" t="s">
        <v>41</v>
      </c>
      <c r="E90" s="6">
        <v>8</v>
      </c>
      <c r="F90" s="17">
        <f>LOG10(2.15*10^2)</f>
        <v>2.3324384599156054</v>
      </c>
    </row>
    <row r="91" spans="1:6" x14ac:dyDescent="0.25">
      <c r="A91" s="20">
        <v>13126</v>
      </c>
      <c r="B91" s="8" t="s">
        <v>0</v>
      </c>
      <c r="C91" s="8" t="s">
        <v>40</v>
      </c>
      <c r="D91" s="8" t="s">
        <v>41</v>
      </c>
      <c r="E91" s="6">
        <v>10</v>
      </c>
      <c r="F91" s="17">
        <f>LOG10(6.85*10^2)</f>
        <v>2.8356905714924254</v>
      </c>
    </row>
    <row r="92" spans="1:6" x14ac:dyDescent="0.25">
      <c r="A92" s="20">
        <v>13126</v>
      </c>
      <c r="B92" s="8" t="s">
        <v>1</v>
      </c>
      <c r="C92" s="8" t="s">
        <v>40</v>
      </c>
      <c r="D92" s="8" t="s">
        <v>41</v>
      </c>
      <c r="E92" s="6">
        <v>0</v>
      </c>
      <c r="F92" s="17">
        <f>LOG10(6*10^5)</f>
        <v>5.7781512503836439</v>
      </c>
    </row>
    <row r="93" spans="1:6" x14ac:dyDescent="0.25">
      <c r="A93" s="20">
        <v>13126</v>
      </c>
      <c r="B93" s="8" t="s">
        <v>1</v>
      </c>
      <c r="C93" s="8" t="s">
        <v>40</v>
      </c>
      <c r="D93" s="8" t="s">
        <v>41</v>
      </c>
      <c r="E93" s="6">
        <v>1</v>
      </c>
      <c r="F93" s="17">
        <f>LOG10(2.3*10^2)</f>
        <v>2.3617278360175926</v>
      </c>
    </row>
    <row r="94" spans="1:6" x14ac:dyDescent="0.25">
      <c r="A94" s="20">
        <v>13126</v>
      </c>
      <c r="B94" s="8" t="s">
        <v>1</v>
      </c>
      <c r="C94" s="8" t="s">
        <v>40</v>
      </c>
      <c r="D94" s="8" t="s">
        <v>41</v>
      </c>
      <c r="E94" s="6">
        <v>2</v>
      </c>
      <c r="F94" s="17">
        <f>LOG10(6*10^2)</f>
        <v>2.7781512503836434</v>
      </c>
    </row>
    <row r="95" spans="1:6" x14ac:dyDescent="0.25">
      <c r="A95" s="20">
        <v>13126</v>
      </c>
      <c r="B95" s="8" t="s">
        <v>1</v>
      </c>
      <c r="C95" s="8" t="s">
        <v>40</v>
      </c>
      <c r="D95" s="8" t="s">
        <v>41</v>
      </c>
      <c r="E95" s="6">
        <v>4</v>
      </c>
      <c r="F95" s="17">
        <f>LOG10(3*10^2)</f>
        <v>2.4771212547196626</v>
      </c>
    </row>
    <row r="96" spans="1:6" x14ac:dyDescent="0.25">
      <c r="A96" s="20">
        <v>13126</v>
      </c>
      <c r="B96" s="8" t="s">
        <v>1</v>
      </c>
      <c r="C96" s="8" t="s">
        <v>40</v>
      </c>
      <c r="D96" s="8" t="s">
        <v>41</v>
      </c>
      <c r="E96" s="6">
        <v>6</v>
      </c>
      <c r="F96" s="17">
        <f>LOG10(0.3*10^2)</f>
        <v>1.4771212547196624</v>
      </c>
    </row>
    <row r="97" spans="1:6" x14ac:dyDescent="0.25">
      <c r="A97" s="20">
        <v>13126</v>
      </c>
      <c r="B97" s="8" t="s">
        <v>1</v>
      </c>
      <c r="C97" s="8" t="s">
        <v>40</v>
      </c>
      <c r="D97" s="8" t="s">
        <v>41</v>
      </c>
      <c r="E97" s="6">
        <v>8</v>
      </c>
      <c r="F97" s="17">
        <f>LOG10(1*10^2)</f>
        <v>2</v>
      </c>
    </row>
    <row r="98" spans="1:6" x14ac:dyDescent="0.25">
      <c r="A98" s="20">
        <v>13126</v>
      </c>
      <c r="B98" s="8" t="s">
        <v>1</v>
      </c>
      <c r="C98" s="8" t="s">
        <v>40</v>
      </c>
      <c r="D98" s="8" t="s">
        <v>41</v>
      </c>
      <c r="E98" s="6">
        <v>10</v>
      </c>
      <c r="F98" s="17">
        <f>LOG10(0.35*10^2)</f>
        <v>1.5440680443502757</v>
      </c>
    </row>
    <row r="99" spans="1:6" x14ac:dyDescent="0.25">
      <c r="A99" s="20">
        <v>13126</v>
      </c>
      <c r="B99" s="8" t="s">
        <v>2</v>
      </c>
      <c r="C99" s="8" t="s">
        <v>40</v>
      </c>
      <c r="D99" s="8" t="s">
        <v>41</v>
      </c>
      <c r="E99" s="6">
        <v>0</v>
      </c>
      <c r="F99" s="17">
        <f>LOG10(1.53*10^5)</f>
        <v>5.1846914308175984</v>
      </c>
    </row>
    <row r="100" spans="1:6" x14ac:dyDescent="0.25">
      <c r="A100" s="20">
        <v>13126</v>
      </c>
      <c r="B100" s="8" t="s">
        <v>2</v>
      </c>
      <c r="C100" s="8" t="s">
        <v>40</v>
      </c>
      <c r="D100" s="8" t="s">
        <v>41</v>
      </c>
      <c r="E100" s="6">
        <v>1</v>
      </c>
      <c r="F100" s="17">
        <f>LOG10(1.97*10^3)</f>
        <v>3.2944662261615929</v>
      </c>
    </row>
    <row r="101" spans="1:6" x14ac:dyDescent="0.25">
      <c r="A101" s="20">
        <v>13126</v>
      </c>
      <c r="B101" s="8" t="s">
        <v>2</v>
      </c>
      <c r="C101" s="8" t="s">
        <v>40</v>
      </c>
      <c r="D101" s="8" t="s">
        <v>41</v>
      </c>
      <c r="E101" s="6">
        <v>2</v>
      </c>
      <c r="F101" s="17">
        <f>LOG10(9.7*10^2)</f>
        <v>2.9867717342662448</v>
      </c>
    </row>
    <row r="102" spans="1:6" x14ac:dyDescent="0.25">
      <c r="A102" s="20">
        <v>13126</v>
      </c>
      <c r="B102" s="8" t="s">
        <v>2</v>
      </c>
      <c r="C102" s="8" t="s">
        <v>40</v>
      </c>
      <c r="D102" s="8" t="s">
        <v>41</v>
      </c>
      <c r="E102" s="6">
        <v>4</v>
      </c>
      <c r="F102" s="17">
        <f>LOG10(3.3*10^2)</f>
        <v>2.5185139398778875</v>
      </c>
    </row>
    <row r="103" spans="1:6" x14ac:dyDescent="0.25">
      <c r="A103" s="20">
        <v>13126</v>
      </c>
      <c r="B103" s="8" t="s">
        <v>2</v>
      </c>
      <c r="C103" s="8" t="s">
        <v>40</v>
      </c>
      <c r="D103" s="8" t="s">
        <v>41</v>
      </c>
      <c r="E103" s="6">
        <v>6</v>
      </c>
      <c r="F103" s="17">
        <f>LOG10(1.33*10^3)</f>
        <v>3.1238516409670858</v>
      </c>
    </row>
    <row r="104" spans="1:6" x14ac:dyDescent="0.25">
      <c r="A104" s="20">
        <v>13126</v>
      </c>
      <c r="B104" s="8" t="s">
        <v>2</v>
      </c>
      <c r="C104" s="8" t="s">
        <v>40</v>
      </c>
      <c r="D104" s="8" t="s">
        <v>41</v>
      </c>
      <c r="E104" s="6">
        <v>8</v>
      </c>
      <c r="F104" s="17">
        <f>LOG10(1.65*10^2)</f>
        <v>2.2174839442139063</v>
      </c>
    </row>
    <row r="105" spans="1:6" x14ac:dyDescent="0.25">
      <c r="A105" s="20">
        <v>13126</v>
      </c>
      <c r="B105" s="8" t="s">
        <v>2</v>
      </c>
      <c r="C105" s="8" t="s">
        <v>40</v>
      </c>
      <c r="D105" s="8" t="s">
        <v>41</v>
      </c>
      <c r="E105" s="6">
        <v>10</v>
      </c>
      <c r="F105" s="17">
        <f>LOG10(1.65*10^2)</f>
        <v>2.2174839442139063</v>
      </c>
    </row>
    <row r="106" spans="1:6" x14ac:dyDescent="0.25">
      <c r="A106" s="20">
        <v>13126</v>
      </c>
      <c r="B106" s="8" t="s">
        <v>0</v>
      </c>
      <c r="C106" s="8" t="s">
        <v>42</v>
      </c>
      <c r="D106" s="8" t="s">
        <v>41</v>
      </c>
      <c r="E106" s="6">
        <v>0</v>
      </c>
      <c r="F106" s="17">
        <f>LOG10(9.3*10^4)</f>
        <v>4.9684829485539348</v>
      </c>
    </row>
    <row r="107" spans="1:6" x14ac:dyDescent="0.25">
      <c r="A107" s="20">
        <v>13126</v>
      </c>
      <c r="B107" s="8" t="s">
        <v>0</v>
      </c>
      <c r="C107" s="8" t="s">
        <v>42</v>
      </c>
      <c r="D107" s="8" t="s">
        <v>41</v>
      </c>
      <c r="E107" s="6">
        <v>1</v>
      </c>
      <c r="F107" s="17">
        <f>LOG10(5.7*10^2)</f>
        <v>2.7558748556724915</v>
      </c>
    </row>
    <row r="108" spans="1:6" x14ac:dyDescent="0.25">
      <c r="A108" s="20">
        <v>13126</v>
      </c>
      <c r="B108" s="8" t="s">
        <v>0</v>
      </c>
      <c r="C108" s="8" t="s">
        <v>42</v>
      </c>
      <c r="D108" s="8" t="s">
        <v>41</v>
      </c>
      <c r="E108" s="6">
        <v>2</v>
      </c>
      <c r="F108" s="17">
        <f>LOG10(1.03*10^3)</f>
        <v>3.012837224705172</v>
      </c>
    </row>
    <row r="109" spans="1:6" x14ac:dyDescent="0.25">
      <c r="A109" s="20">
        <v>13126</v>
      </c>
      <c r="B109" s="8" t="s">
        <v>0</v>
      </c>
      <c r="C109" s="8" t="s">
        <v>42</v>
      </c>
      <c r="D109" s="8" t="s">
        <v>41</v>
      </c>
      <c r="E109" s="6">
        <v>4</v>
      </c>
      <c r="F109" s="17">
        <f>LOG10(3.7*10^2)</f>
        <v>2.568201724066995</v>
      </c>
    </row>
    <row r="110" spans="1:6" x14ac:dyDescent="0.25">
      <c r="A110" s="20">
        <v>13126</v>
      </c>
      <c r="B110" s="8" t="s">
        <v>0</v>
      </c>
      <c r="C110" s="8" t="s">
        <v>42</v>
      </c>
      <c r="D110" s="8" t="s">
        <v>41</v>
      </c>
      <c r="E110" s="6">
        <v>6</v>
      </c>
      <c r="F110" s="17">
        <f>LOG10(3.7*10^3)</f>
        <v>3.568201724066995</v>
      </c>
    </row>
    <row r="111" spans="1:6" x14ac:dyDescent="0.25">
      <c r="A111" s="20">
        <v>13126</v>
      </c>
      <c r="B111" s="8" t="s">
        <v>0</v>
      </c>
      <c r="C111" s="8" t="s">
        <v>42</v>
      </c>
      <c r="D111" s="8" t="s">
        <v>41</v>
      </c>
      <c r="E111" s="6">
        <v>8</v>
      </c>
      <c r="F111" s="17">
        <f>LOG10(1.65*10^3)</f>
        <v>3.2174839442139063</v>
      </c>
    </row>
    <row r="112" spans="1:6" x14ac:dyDescent="0.25">
      <c r="A112" s="20">
        <v>13126</v>
      </c>
      <c r="B112" s="8" t="s">
        <v>0</v>
      </c>
      <c r="C112" s="8" t="s">
        <v>42</v>
      </c>
      <c r="D112" s="8" t="s">
        <v>41</v>
      </c>
      <c r="E112" s="6">
        <v>10</v>
      </c>
      <c r="F112" s="17">
        <f>LOG10(0.15*10^2)</f>
        <v>1.1760912590556813</v>
      </c>
    </row>
    <row r="113" spans="1:6" x14ac:dyDescent="0.25">
      <c r="A113" s="20">
        <v>13126</v>
      </c>
      <c r="B113" s="8" t="s">
        <v>1</v>
      </c>
      <c r="C113" s="8" t="s">
        <v>42</v>
      </c>
      <c r="D113" s="8" t="s">
        <v>41</v>
      </c>
      <c r="E113" s="6">
        <v>0</v>
      </c>
      <c r="F113" s="17">
        <f>LOG10(7.7*10^5)</f>
        <v>5.8864907251724823</v>
      </c>
    </row>
    <row r="114" spans="1:6" x14ac:dyDescent="0.25">
      <c r="A114" s="20">
        <v>13126</v>
      </c>
      <c r="B114" s="8" t="s">
        <v>1</v>
      </c>
      <c r="C114" s="8" t="s">
        <v>42</v>
      </c>
      <c r="D114" s="8" t="s">
        <v>41</v>
      </c>
      <c r="E114" s="6">
        <v>1</v>
      </c>
      <c r="F114" s="17">
        <f>LOG10(4*10^2)</f>
        <v>2.6020599913279625</v>
      </c>
    </row>
    <row r="115" spans="1:6" x14ac:dyDescent="0.25">
      <c r="A115" s="20">
        <v>13126</v>
      </c>
      <c r="B115" s="8" t="s">
        <v>1</v>
      </c>
      <c r="C115" s="8" t="s">
        <v>42</v>
      </c>
      <c r="D115" s="8" t="s">
        <v>41</v>
      </c>
      <c r="E115" s="6">
        <v>2</v>
      </c>
      <c r="F115" s="17">
        <f>LOG10(2.7*10^3)</f>
        <v>3.4313637641589874</v>
      </c>
    </row>
    <row r="116" spans="1:6" x14ac:dyDescent="0.25">
      <c r="A116" s="20">
        <v>13126</v>
      </c>
      <c r="B116" s="8" t="s">
        <v>1</v>
      </c>
      <c r="C116" s="8" t="s">
        <v>42</v>
      </c>
      <c r="D116" s="8" t="s">
        <v>41</v>
      </c>
      <c r="E116" s="6">
        <v>4</v>
      </c>
      <c r="F116" s="17">
        <f>LOG10(2*10^3)</f>
        <v>3.3010299956639813</v>
      </c>
    </row>
    <row r="117" spans="1:6" x14ac:dyDescent="0.25">
      <c r="A117" s="20">
        <v>13126</v>
      </c>
      <c r="B117" s="8" t="s">
        <v>1</v>
      </c>
      <c r="C117" s="8" t="s">
        <v>42</v>
      </c>
      <c r="D117" s="8" t="s">
        <v>41</v>
      </c>
      <c r="E117" s="6">
        <v>6</v>
      </c>
      <c r="F117" s="17">
        <f>LOG10(3.3*10^2)</f>
        <v>2.5185139398778875</v>
      </c>
    </row>
    <row r="118" spans="1:6" x14ac:dyDescent="0.25">
      <c r="A118" s="20">
        <v>13126</v>
      </c>
      <c r="B118" s="8" t="s">
        <v>1</v>
      </c>
      <c r="C118" s="8" t="s">
        <v>42</v>
      </c>
      <c r="D118" s="8" t="s">
        <v>41</v>
      </c>
      <c r="E118" s="6">
        <v>8</v>
      </c>
      <c r="F118" s="17">
        <f>LOG10(2.35*10^2)</f>
        <v>2.3710678622717363</v>
      </c>
    </row>
    <row r="119" spans="1:6" x14ac:dyDescent="0.25">
      <c r="A119" s="20">
        <v>13126</v>
      </c>
      <c r="B119" s="8" t="s">
        <v>1</v>
      </c>
      <c r="C119" s="8" t="s">
        <v>42</v>
      </c>
      <c r="D119" s="8" t="s">
        <v>41</v>
      </c>
      <c r="E119" s="6">
        <v>10</v>
      </c>
      <c r="F119" s="17">
        <f>LOG10(0.35*10^2)</f>
        <v>1.5440680443502757</v>
      </c>
    </row>
    <row r="120" spans="1:6" x14ac:dyDescent="0.25">
      <c r="A120" s="20">
        <v>13126</v>
      </c>
      <c r="B120" s="8" t="s">
        <v>2</v>
      </c>
      <c r="C120" s="8" t="s">
        <v>42</v>
      </c>
      <c r="D120" s="8" t="s">
        <v>41</v>
      </c>
      <c r="E120" s="6">
        <v>0</v>
      </c>
      <c r="F120" s="17">
        <f>LOG10(5.7*10^5)</f>
        <v>5.7558748556724915</v>
      </c>
    </row>
    <row r="121" spans="1:6" x14ac:dyDescent="0.25">
      <c r="A121" s="20">
        <v>13126</v>
      </c>
      <c r="B121" s="8" t="s">
        <v>2</v>
      </c>
      <c r="C121" s="8" t="s">
        <v>42</v>
      </c>
      <c r="D121" s="8" t="s">
        <v>41</v>
      </c>
      <c r="E121" s="6">
        <v>1</v>
      </c>
      <c r="F121" s="17">
        <f>LOG10(1.07*10^4)</f>
        <v>4.0293837776852097</v>
      </c>
    </row>
    <row r="122" spans="1:6" x14ac:dyDescent="0.25">
      <c r="A122" s="20">
        <v>13126</v>
      </c>
      <c r="B122" s="8" t="s">
        <v>2</v>
      </c>
      <c r="C122" s="8" t="s">
        <v>42</v>
      </c>
      <c r="D122" s="8" t="s">
        <v>41</v>
      </c>
      <c r="E122" s="6">
        <v>2</v>
      </c>
      <c r="F122" s="17">
        <f>LOG10(8.3*10^3)</f>
        <v>3.9190780923760737</v>
      </c>
    </row>
    <row r="123" spans="1:6" x14ac:dyDescent="0.25">
      <c r="A123" s="20">
        <v>13126</v>
      </c>
      <c r="B123" s="8" t="s">
        <v>2</v>
      </c>
      <c r="C123" s="8" t="s">
        <v>42</v>
      </c>
      <c r="D123" s="8" t="s">
        <v>41</v>
      </c>
      <c r="E123" s="6">
        <v>4</v>
      </c>
      <c r="F123" s="17">
        <f>LOG10(5*10^2)</f>
        <v>2.6989700043360187</v>
      </c>
    </row>
    <row r="124" spans="1:6" x14ac:dyDescent="0.25">
      <c r="A124" s="20">
        <v>13126</v>
      </c>
      <c r="B124" s="8" t="s">
        <v>2</v>
      </c>
      <c r="C124" s="8" t="s">
        <v>42</v>
      </c>
      <c r="D124" s="8" t="s">
        <v>41</v>
      </c>
      <c r="E124" s="6">
        <v>6</v>
      </c>
      <c r="F124" s="17">
        <f>LOG10(3*10^3)</f>
        <v>3.4771212547196626</v>
      </c>
    </row>
    <row r="125" spans="1:6" x14ac:dyDescent="0.25">
      <c r="A125" s="20">
        <v>13126</v>
      </c>
      <c r="B125" s="8" t="s">
        <v>2</v>
      </c>
      <c r="C125" s="8" t="s">
        <v>42</v>
      </c>
      <c r="D125" s="8" t="s">
        <v>41</v>
      </c>
      <c r="E125" s="6">
        <v>8</v>
      </c>
      <c r="F125" s="17">
        <f>LOG10(7*10^3)</f>
        <v>3.8450980400142569</v>
      </c>
    </row>
    <row r="126" spans="1:6" x14ac:dyDescent="0.25">
      <c r="A126" s="20">
        <v>13126</v>
      </c>
      <c r="B126" s="8" t="s">
        <v>2</v>
      </c>
      <c r="C126" s="8" t="s">
        <v>42</v>
      </c>
      <c r="D126" s="8" t="s">
        <v>41</v>
      </c>
      <c r="E126" s="6">
        <v>10</v>
      </c>
      <c r="F126" s="17">
        <f>LOG10(3.15*10^2)</f>
        <v>2.4983105537896004</v>
      </c>
    </row>
    <row r="127" spans="1:6" x14ac:dyDescent="0.25">
      <c r="A127" s="8">
        <v>13136</v>
      </c>
      <c r="B127" s="8" t="s">
        <v>0</v>
      </c>
      <c r="C127" s="8" t="s">
        <v>40</v>
      </c>
      <c r="D127" s="8" t="s">
        <v>41</v>
      </c>
      <c r="E127" s="6">
        <v>0</v>
      </c>
      <c r="F127" s="8">
        <f>LOG10(2.7*10^5)</f>
        <v>5.4313637641589869</v>
      </c>
    </row>
    <row r="128" spans="1:6" x14ac:dyDescent="0.25">
      <c r="A128" s="8">
        <v>13136</v>
      </c>
      <c r="B128" s="8" t="s">
        <v>0</v>
      </c>
      <c r="C128" s="8" t="s">
        <v>40</v>
      </c>
      <c r="D128" s="8" t="s">
        <v>41</v>
      </c>
      <c r="E128" s="6">
        <v>1</v>
      </c>
      <c r="F128" s="8">
        <f>LOG10(1.07*10^5)</f>
        <v>5.0293837776852097</v>
      </c>
    </row>
    <row r="129" spans="1:6" x14ac:dyDescent="0.25">
      <c r="A129" s="8">
        <v>13136</v>
      </c>
      <c r="B129" s="8" t="s">
        <v>0</v>
      </c>
      <c r="C129" s="8" t="s">
        <v>40</v>
      </c>
      <c r="D129" s="8" t="s">
        <v>41</v>
      </c>
      <c r="E129" s="6">
        <v>2</v>
      </c>
      <c r="F129" s="8">
        <f>LOG10(8.3*10^3)</f>
        <v>3.9190780923760737</v>
      </c>
    </row>
    <row r="130" spans="1:6" x14ac:dyDescent="0.25">
      <c r="A130" s="8">
        <v>13136</v>
      </c>
      <c r="B130" s="8" t="s">
        <v>0</v>
      </c>
      <c r="C130" s="8" t="s">
        <v>40</v>
      </c>
      <c r="D130" s="8" t="s">
        <v>41</v>
      </c>
      <c r="E130" s="6">
        <v>4</v>
      </c>
      <c r="F130" s="8">
        <f>LOG10(3.7*10^3)</f>
        <v>3.568201724066995</v>
      </c>
    </row>
    <row r="131" spans="1:6" x14ac:dyDescent="0.25">
      <c r="A131" s="8">
        <v>13136</v>
      </c>
      <c r="B131" s="8" t="s">
        <v>0</v>
      </c>
      <c r="C131" s="8" t="s">
        <v>40</v>
      </c>
      <c r="D131" s="8" t="s">
        <v>41</v>
      </c>
      <c r="E131" s="6">
        <v>6</v>
      </c>
      <c r="F131" s="8">
        <f>LOG10(4.7*10^3)</f>
        <v>3.6720978579357175</v>
      </c>
    </row>
    <row r="132" spans="1:6" x14ac:dyDescent="0.25">
      <c r="A132" s="8">
        <v>13136</v>
      </c>
      <c r="B132" s="8" t="s">
        <v>0</v>
      </c>
      <c r="C132" s="8" t="s">
        <v>40</v>
      </c>
      <c r="D132" s="8" t="s">
        <v>41</v>
      </c>
      <c r="E132" s="6">
        <v>8</v>
      </c>
      <c r="F132" s="8">
        <f>LOG10(5.65*10^3)</f>
        <v>3.7520484478194387</v>
      </c>
    </row>
    <row r="133" spans="1:6" x14ac:dyDescent="0.25">
      <c r="A133" s="8">
        <v>13136</v>
      </c>
      <c r="B133" s="8" t="s">
        <v>0</v>
      </c>
      <c r="C133" s="8" t="s">
        <v>40</v>
      </c>
      <c r="D133" s="8" t="s">
        <v>41</v>
      </c>
      <c r="E133" s="6">
        <v>10</v>
      </c>
      <c r="F133" s="8">
        <f>LOG10(4.15*10^3)</f>
        <v>3.6180480967120925</v>
      </c>
    </row>
    <row r="134" spans="1:6" x14ac:dyDescent="0.25">
      <c r="A134" s="8">
        <v>13136</v>
      </c>
      <c r="B134" s="8" t="s">
        <v>1</v>
      </c>
      <c r="C134" s="8" t="s">
        <v>40</v>
      </c>
      <c r="D134" s="8" t="s">
        <v>41</v>
      </c>
      <c r="E134" s="6">
        <v>0</v>
      </c>
      <c r="F134" s="8">
        <f>LOG10(1.9*10^5)</f>
        <v>5.2787536009528289</v>
      </c>
    </row>
    <row r="135" spans="1:6" x14ac:dyDescent="0.25">
      <c r="A135" s="8">
        <v>13136</v>
      </c>
      <c r="B135" s="8" t="s">
        <v>1</v>
      </c>
      <c r="C135" s="8" t="s">
        <v>40</v>
      </c>
      <c r="D135" s="8" t="s">
        <v>41</v>
      </c>
      <c r="E135" s="6">
        <v>1</v>
      </c>
      <c r="F135" s="8">
        <f>LOG10(2*10^4)</f>
        <v>4.3010299956639813</v>
      </c>
    </row>
    <row r="136" spans="1:6" x14ac:dyDescent="0.25">
      <c r="A136" s="8">
        <v>13136</v>
      </c>
      <c r="B136" s="8" t="s">
        <v>1</v>
      </c>
      <c r="C136" s="8" t="s">
        <v>40</v>
      </c>
      <c r="D136" s="8" t="s">
        <v>41</v>
      </c>
      <c r="E136" s="6">
        <v>2</v>
      </c>
      <c r="F136" s="8">
        <f>LOG10(3.3*10^4)</f>
        <v>4.5185139398778871</v>
      </c>
    </row>
    <row r="137" spans="1:6" x14ac:dyDescent="0.25">
      <c r="A137" s="8">
        <v>13136</v>
      </c>
      <c r="B137" s="8" t="s">
        <v>1</v>
      </c>
      <c r="C137" s="8" t="s">
        <v>40</v>
      </c>
      <c r="D137" s="8" t="s">
        <v>41</v>
      </c>
      <c r="E137" s="6">
        <v>4</v>
      </c>
      <c r="F137" s="8">
        <f>LOG10(7*10^3)</f>
        <v>3.8450980400142569</v>
      </c>
    </row>
    <row r="138" spans="1:6" x14ac:dyDescent="0.25">
      <c r="A138" s="8">
        <v>13136</v>
      </c>
      <c r="B138" s="8" t="s">
        <v>1</v>
      </c>
      <c r="C138" s="8" t="s">
        <v>40</v>
      </c>
      <c r="D138" s="8" t="s">
        <v>41</v>
      </c>
      <c r="E138" s="6">
        <v>6</v>
      </c>
      <c r="F138" s="8">
        <f>LOG10(1.27*10^4)</f>
        <v>4.1038037209559572</v>
      </c>
    </row>
    <row r="139" spans="1:6" x14ac:dyDescent="0.25">
      <c r="A139" s="8">
        <v>13136</v>
      </c>
      <c r="B139" s="8" t="s">
        <v>1</v>
      </c>
      <c r="C139" s="8" t="s">
        <v>40</v>
      </c>
      <c r="D139" s="8" t="s">
        <v>41</v>
      </c>
      <c r="E139" s="6">
        <v>8</v>
      </c>
      <c r="F139" s="8">
        <f>LOG10(4.5*10^3)</f>
        <v>3.6532125137753435</v>
      </c>
    </row>
    <row r="140" spans="1:6" x14ac:dyDescent="0.25">
      <c r="A140" s="8">
        <v>13136</v>
      </c>
      <c r="B140" s="8" t="s">
        <v>1</v>
      </c>
      <c r="C140" s="8" t="s">
        <v>40</v>
      </c>
      <c r="D140" s="8" t="s">
        <v>41</v>
      </c>
      <c r="E140" s="6">
        <v>10</v>
      </c>
      <c r="F140" s="8">
        <f>LOG10(1.15*10^3)</f>
        <v>3.0606978403536118</v>
      </c>
    </row>
    <row r="141" spans="1:6" x14ac:dyDescent="0.25">
      <c r="A141" s="8">
        <v>13136</v>
      </c>
      <c r="B141" s="8" t="s">
        <v>2</v>
      </c>
      <c r="C141" s="8" t="s">
        <v>40</v>
      </c>
      <c r="D141" s="8" t="s">
        <v>41</v>
      </c>
      <c r="E141" s="6">
        <v>0</v>
      </c>
      <c r="F141" s="8">
        <f>LOG10(9.3*10^4)</f>
        <v>4.9684829485539348</v>
      </c>
    </row>
    <row r="142" spans="1:6" x14ac:dyDescent="0.25">
      <c r="A142" s="8">
        <v>13136</v>
      </c>
      <c r="B142" s="8" t="s">
        <v>2</v>
      </c>
      <c r="C142" s="8" t="s">
        <v>40</v>
      </c>
      <c r="D142" s="8" t="s">
        <v>41</v>
      </c>
      <c r="E142" s="6">
        <v>1</v>
      </c>
      <c r="F142" s="8">
        <f>LOG10(7*10^4)</f>
        <v>4.8450980400142569</v>
      </c>
    </row>
    <row r="143" spans="1:6" x14ac:dyDescent="0.25">
      <c r="A143" s="8">
        <v>13136</v>
      </c>
      <c r="B143" s="8" t="s">
        <v>2</v>
      </c>
      <c r="C143" s="8" t="s">
        <v>40</v>
      </c>
      <c r="D143" s="8" t="s">
        <v>41</v>
      </c>
      <c r="E143" s="6">
        <v>2</v>
      </c>
      <c r="F143" s="8">
        <f>LOG10(3.3*10^3)</f>
        <v>3.5185139398778875</v>
      </c>
    </row>
    <row r="144" spans="1:6" x14ac:dyDescent="0.25">
      <c r="A144" s="8">
        <v>13136</v>
      </c>
      <c r="B144" s="8" t="s">
        <v>2</v>
      </c>
      <c r="C144" s="8" t="s">
        <v>40</v>
      </c>
      <c r="D144" s="8" t="s">
        <v>41</v>
      </c>
      <c r="E144" s="6">
        <v>6</v>
      </c>
      <c r="F144" s="8">
        <f>LOG10(2.7*10^3)</f>
        <v>3.4313637641589874</v>
      </c>
    </row>
    <row r="145" spans="1:6" x14ac:dyDescent="0.25">
      <c r="A145" s="8">
        <v>13136</v>
      </c>
      <c r="B145" s="8" t="s">
        <v>2</v>
      </c>
      <c r="C145" s="8" t="s">
        <v>40</v>
      </c>
      <c r="D145" s="8" t="s">
        <v>41</v>
      </c>
      <c r="E145" s="6">
        <v>8</v>
      </c>
      <c r="F145" s="8">
        <f>LOG10(5*10^3)</f>
        <v>3.6989700043360187</v>
      </c>
    </row>
    <row r="146" spans="1:6" x14ac:dyDescent="0.25">
      <c r="A146" s="8">
        <v>13136</v>
      </c>
      <c r="B146" s="8" t="s">
        <v>2</v>
      </c>
      <c r="C146" s="8" t="s">
        <v>40</v>
      </c>
      <c r="D146" s="8" t="s">
        <v>41</v>
      </c>
      <c r="E146" s="6">
        <v>10</v>
      </c>
      <c r="F146" s="8">
        <f>LOG10(4.15*10^3)</f>
        <v>3.6180480967120925</v>
      </c>
    </row>
    <row r="147" spans="1:6" x14ac:dyDescent="0.25">
      <c r="A147" s="8">
        <v>13136</v>
      </c>
      <c r="B147" s="8" t="s">
        <v>0</v>
      </c>
      <c r="C147" s="8" t="s">
        <v>42</v>
      </c>
      <c r="D147" s="8" t="s">
        <v>41</v>
      </c>
      <c r="E147" s="6">
        <v>0</v>
      </c>
      <c r="F147" s="17">
        <f>LOG10(2*10^5)</f>
        <v>5.3010299956639813</v>
      </c>
    </row>
    <row r="148" spans="1:6" x14ac:dyDescent="0.25">
      <c r="A148" s="8">
        <v>13136</v>
      </c>
      <c r="B148" s="8" t="s">
        <v>0</v>
      </c>
      <c r="C148" s="8" t="s">
        <v>42</v>
      </c>
      <c r="D148" s="8" t="s">
        <v>41</v>
      </c>
      <c r="E148" s="6">
        <v>1</v>
      </c>
      <c r="F148" s="17">
        <f>LOG10(8.7*10^4)</f>
        <v>4.9395192526186182</v>
      </c>
    </row>
    <row r="149" spans="1:6" x14ac:dyDescent="0.25">
      <c r="A149" s="8">
        <v>13136</v>
      </c>
      <c r="B149" s="8" t="s">
        <v>0</v>
      </c>
      <c r="C149" s="8" t="s">
        <v>42</v>
      </c>
      <c r="D149" s="8" t="s">
        <v>41</v>
      </c>
      <c r="E149" s="6">
        <v>2</v>
      </c>
      <c r="F149" s="17">
        <f>LOG10(7*10^3)</f>
        <v>3.8450980400142569</v>
      </c>
    </row>
    <row r="150" spans="1:6" x14ac:dyDescent="0.25">
      <c r="A150" s="8">
        <v>13136</v>
      </c>
      <c r="B150" s="8" t="s">
        <v>0</v>
      </c>
      <c r="C150" s="8" t="s">
        <v>42</v>
      </c>
      <c r="D150" s="8" t="s">
        <v>41</v>
      </c>
      <c r="E150" s="6">
        <v>4</v>
      </c>
      <c r="F150" s="17">
        <f>LOG10(7.7*10^3)</f>
        <v>3.8864907251724818</v>
      </c>
    </row>
    <row r="151" spans="1:6" x14ac:dyDescent="0.25">
      <c r="A151" s="8">
        <v>13136</v>
      </c>
      <c r="B151" s="8" t="s">
        <v>0</v>
      </c>
      <c r="C151" s="8" t="s">
        <v>42</v>
      </c>
      <c r="D151" s="8" t="s">
        <v>41</v>
      </c>
      <c r="E151" s="6">
        <v>6</v>
      </c>
      <c r="F151" s="17">
        <f>LOG10(5.3*10^3)</f>
        <v>3.7242758696007892</v>
      </c>
    </row>
    <row r="152" spans="1:6" x14ac:dyDescent="0.25">
      <c r="A152" s="8">
        <v>13136</v>
      </c>
      <c r="B152" s="8" t="s">
        <v>0</v>
      </c>
      <c r="C152" s="8" t="s">
        <v>42</v>
      </c>
      <c r="D152" s="8" t="s">
        <v>41</v>
      </c>
      <c r="E152" s="6">
        <v>8</v>
      </c>
      <c r="F152" s="17">
        <f>LOG10(4.15*10^2)</f>
        <v>2.6180480967120929</v>
      </c>
    </row>
    <row r="153" spans="1:6" x14ac:dyDescent="0.25">
      <c r="A153" s="8">
        <v>13136</v>
      </c>
      <c r="B153" s="8" t="s">
        <v>0</v>
      </c>
      <c r="C153" s="8" t="s">
        <v>42</v>
      </c>
      <c r="D153" s="8" t="s">
        <v>41</v>
      </c>
      <c r="E153" s="6">
        <v>10</v>
      </c>
      <c r="F153" s="17">
        <f>LOG10(4*10^2)</f>
        <v>2.6020599913279625</v>
      </c>
    </row>
    <row r="154" spans="1:6" x14ac:dyDescent="0.25">
      <c r="A154" s="8">
        <v>13136</v>
      </c>
      <c r="B154" s="8" t="s">
        <v>1</v>
      </c>
      <c r="C154" s="8" t="s">
        <v>42</v>
      </c>
      <c r="D154" s="8" t="s">
        <v>41</v>
      </c>
      <c r="E154" s="6">
        <v>0</v>
      </c>
      <c r="F154" s="17">
        <f>LOG10(4*10^5)</f>
        <v>5.6020599913279625</v>
      </c>
    </row>
    <row r="155" spans="1:6" x14ac:dyDescent="0.25">
      <c r="A155" s="8">
        <v>13136</v>
      </c>
      <c r="B155" s="8" t="s">
        <v>1</v>
      </c>
      <c r="C155" s="8" t="s">
        <v>42</v>
      </c>
      <c r="D155" s="8" t="s">
        <v>41</v>
      </c>
      <c r="E155" s="6">
        <v>1</v>
      </c>
      <c r="F155" s="17">
        <f>LOG10(1.23*10^4)</f>
        <v>4.0899051114393981</v>
      </c>
    </row>
    <row r="156" spans="1:6" x14ac:dyDescent="0.25">
      <c r="A156" s="8">
        <v>13136</v>
      </c>
      <c r="B156" s="8" t="s">
        <v>1</v>
      </c>
      <c r="C156" s="8" t="s">
        <v>42</v>
      </c>
      <c r="D156" s="8" t="s">
        <v>41</v>
      </c>
      <c r="E156" s="6">
        <v>2</v>
      </c>
      <c r="F156" s="17">
        <f>LOG10(1.53*10^4)</f>
        <v>4.1846914308175984</v>
      </c>
    </row>
    <row r="157" spans="1:6" x14ac:dyDescent="0.25">
      <c r="A157" s="8">
        <v>13136</v>
      </c>
      <c r="B157" s="8" t="s">
        <v>1</v>
      </c>
      <c r="C157" s="8" t="s">
        <v>42</v>
      </c>
      <c r="D157" s="8" t="s">
        <v>41</v>
      </c>
      <c r="E157" s="6">
        <v>4</v>
      </c>
      <c r="F157" s="17">
        <f>LOG10(9*10^2)</f>
        <v>2.9542425094393248</v>
      </c>
    </row>
    <row r="158" spans="1:6" x14ac:dyDescent="0.25">
      <c r="A158" s="8">
        <v>13136</v>
      </c>
      <c r="B158" s="8" t="s">
        <v>1</v>
      </c>
      <c r="C158" s="8" t="s">
        <v>42</v>
      </c>
      <c r="D158" s="8" t="s">
        <v>41</v>
      </c>
      <c r="E158" s="6">
        <v>6</v>
      </c>
      <c r="F158" s="17">
        <f>LOG10(1.53*10^3)</f>
        <v>3.1846914308175989</v>
      </c>
    </row>
    <row r="159" spans="1:6" x14ac:dyDescent="0.25">
      <c r="A159" s="8">
        <v>13136</v>
      </c>
      <c r="B159" s="8" t="s">
        <v>1</v>
      </c>
      <c r="C159" s="8" t="s">
        <v>42</v>
      </c>
      <c r="D159" s="8" t="s">
        <v>41</v>
      </c>
      <c r="E159" s="6">
        <v>8</v>
      </c>
      <c r="F159" s="17">
        <f>LOG10(3.35*10^2)</f>
        <v>2.5250448070368452</v>
      </c>
    </row>
    <row r="160" spans="1:6" x14ac:dyDescent="0.25">
      <c r="A160" s="8">
        <v>13136</v>
      </c>
      <c r="B160" s="8" t="s">
        <v>1</v>
      </c>
      <c r="C160" s="8" t="s">
        <v>42</v>
      </c>
      <c r="D160" s="8" t="s">
        <v>41</v>
      </c>
      <c r="E160" s="6">
        <v>10</v>
      </c>
      <c r="F160" s="17">
        <f>LOG10(5*10^2)</f>
        <v>2.6989700043360187</v>
      </c>
    </row>
    <row r="161" spans="1:6" x14ac:dyDescent="0.25">
      <c r="A161" s="8">
        <v>13136</v>
      </c>
      <c r="B161" s="8" t="s">
        <v>2</v>
      </c>
      <c r="C161" s="8" t="s">
        <v>42</v>
      </c>
      <c r="D161" s="8" t="s">
        <v>41</v>
      </c>
      <c r="E161" s="6">
        <v>0</v>
      </c>
      <c r="F161" s="17">
        <f>LOG10(2.7*10^5)</f>
        <v>5.4313637641589869</v>
      </c>
    </row>
    <row r="162" spans="1:6" x14ac:dyDescent="0.25">
      <c r="A162" s="8">
        <v>13136</v>
      </c>
      <c r="B162" s="8" t="s">
        <v>2</v>
      </c>
      <c r="C162" s="8" t="s">
        <v>42</v>
      </c>
      <c r="D162" s="8" t="s">
        <v>41</v>
      </c>
      <c r="E162" s="6">
        <v>1</v>
      </c>
      <c r="F162" s="17">
        <f>LOG10(1*10^5)</f>
        <v>5</v>
      </c>
    </row>
    <row r="163" spans="1:6" x14ac:dyDescent="0.25">
      <c r="A163" s="8">
        <v>13136</v>
      </c>
      <c r="B163" s="8" t="s">
        <v>2</v>
      </c>
      <c r="C163" s="8" t="s">
        <v>42</v>
      </c>
      <c r="D163" s="8" t="s">
        <v>41</v>
      </c>
      <c r="E163" s="6">
        <v>2</v>
      </c>
      <c r="F163" s="17">
        <f>LOG10(6.7*10^3)</f>
        <v>3.8260748027008264</v>
      </c>
    </row>
    <row r="164" spans="1:6" x14ac:dyDescent="0.25">
      <c r="A164" s="8">
        <v>13136</v>
      </c>
      <c r="B164" s="8" t="s">
        <v>2</v>
      </c>
      <c r="C164" s="8" t="s">
        <v>42</v>
      </c>
      <c r="D164" s="8" t="s">
        <v>41</v>
      </c>
      <c r="E164" s="6">
        <v>4</v>
      </c>
      <c r="F164" s="17">
        <f>LOG10(3.7*10^3)</f>
        <v>3.568201724066995</v>
      </c>
    </row>
    <row r="165" spans="1:6" x14ac:dyDescent="0.25">
      <c r="A165" s="8">
        <v>13136</v>
      </c>
      <c r="B165" s="8" t="s">
        <v>2</v>
      </c>
      <c r="C165" s="8" t="s">
        <v>42</v>
      </c>
      <c r="D165" s="8" t="s">
        <v>41</v>
      </c>
      <c r="E165" s="6">
        <v>6</v>
      </c>
      <c r="F165" s="17">
        <f>LOG10(1.43*10^4)</f>
        <v>4.1553360374650614</v>
      </c>
    </row>
    <row r="166" spans="1:6" x14ac:dyDescent="0.25">
      <c r="A166" s="8">
        <v>13136</v>
      </c>
      <c r="B166" s="8" t="s">
        <v>2</v>
      </c>
      <c r="C166" s="8" t="s">
        <v>42</v>
      </c>
      <c r="D166" s="8" t="s">
        <v>41</v>
      </c>
      <c r="E166" s="6">
        <v>8</v>
      </c>
      <c r="F166" s="17">
        <f>LOG10(5.5*10^3)</f>
        <v>3.7403626894942437</v>
      </c>
    </row>
    <row r="167" spans="1:6" x14ac:dyDescent="0.25">
      <c r="A167" s="8">
        <v>13136</v>
      </c>
      <c r="B167" s="8" t="s">
        <v>2</v>
      </c>
      <c r="C167" s="8" t="s">
        <v>42</v>
      </c>
      <c r="D167" s="8" t="s">
        <v>41</v>
      </c>
      <c r="E167" s="6">
        <v>10</v>
      </c>
      <c r="F167" s="17">
        <f>LOG10(5.5*10^3)</f>
        <v>3.7403626894942437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6"/>
  <sheetViews>
    <sheetView zoomScale="90" zoomScaleNormal="90" workbookViewId="0"/>
  </sheetViews>
  <sheetFormatPr defaultRowHeight="15" x14ac:dyDescent="0.25"/>
  <cols>
    <col min="1" max="1" width="9.140625" style="8"/>
    <col min="2" max="3" width="9.85546875" style="8" customWidth="1"/>
    <col min="4" max="5" width="9.140625" style="8"/>
    <col min="6" max="6" width="11.140625" style="8" bestFit="1" customWidth="1"/>
    <col min="7" max="16384" width="9.140625" style="8"/>
  </cols>
  <sheetData>
    <row r="1" spans="1:37" ht="24" customHeight="1" x14ac:dyDescent="0.25">
      <c r="A1" s="7" t="s">
        <v>6</v>
      </c>
      <c r="B1" s="5" t="s">
        <v>7</v>
      </c>
      <c r="C1" s="5" t="s">
        <v>8</v>
      </c>
      <c r="D1" s="7" t="s">
        <v>9</v>
      </c>
      <c r="E1" s="6"/>
      <c r="F1" s="7" t="s">
        <v>11</v>
      </c>
      <c r="G1" s="7" t="s">
        <v>12</v>
      </c>
      <c r="H1" s="7" t="s">
        <v>19</v>
      </c>
      <c r="I1" s="6"/>
      <c r="J1" s="6"/>
      <c r="K1" s="6"/>
      <c r="L1" s="6"/>
      <c r="M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7" x14ac:dyDescent="0.25">
      <c r="A2" s="6">
        <v>0</v>
      </c>
      <c r="B2" s="6">
        <v>5.4099331233312942</v>
      </c>
      <c r="C2" s="6">
        <f t="shared" ref="C2:C22" si="0" xml:space="preserve"> $G$5 - ((A2 /$G$3)^$G$4)</f>
        <v>5.4530503202939808</v>
      </c>
      <c r="D2" s="6">
        <f t="shared" ref="D2:D22" si="1" xml:space="preserve"> (B2 - C2)^2</f>
        <v>1.8590926739191172E-3</v>
      </c>
      <c r="E2" s="6"/>
      <c r="F2" s="6"/>
      <c r="G2" s="6"/>
      <c r="H2" s="6"/>
      <c r="I2" s="6"/>
      <c r="J2" s="6"/>
      <c r="K2" s="6"/>
      <c r="L2" s="12" t="s">
        <v>20</v>
      </c>
      <c r="M2" s="17">
        <v>0.37616428817528813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x14ac:dyDescent="0.25">
      <c r="A3" s="6">
        <v>1</v>
      </c>
      <c r="B3" s="6">
        <v>3.6020599913279625</v>
      </c>
      <c r="C3" s="6">
        <f t="shared" si="0"/>
        <v>3.246417449570933</v>
      </c>
      <c r="D3" s="6">
        <f t="shared" si="1"/>
        <v>0.12648161750740045</v>
      </c>
      <c r="E3" s="6"/>
      <c r="F3" s="6" t="s">
        <v>34</v>
      </c>
      <c r="G3" s="17">
        <v>6.0083396819153329E-3</v>
      </c>
      <c r="H3" s="17">
        <v>2.1120606515526698E-2</v>
      </c>
      <c r="I3" s="6"/>
      <c r="J3" s="6"/>
      <c r="K3" s="6"/>
      <c r="L3" s="12" t="s">
        <v>23</v>
      </c>
      <c r="M3" s="17">
        <f>SQRT(M2)</f>
        <v>0.61332233627619348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x14ac:dyDescent="0.25">
      <c r="A4" s="6">
        <v>2</v>
      </c>
      <c r="B4" s="6">
        <v>3.4771212547196626</v>
      </c>
      <c r="C4" s="6">
        <f t="shared" si="0"/>
        <v>2.9965691649981405</v>
      </c>
      <c r="D4" s="6">
        <f t="shared" si="1"/>
        <v>0.23093031093572181</v>
      </c>
      <c r="E4" s="6"/>
      <c r="F4" s="6" t="s">
        <v>15</v>
      </c>
      <c r="G4" s="17">
        <v>0.15474655089252959</v>
      </c>
      <c r="H4" s="17">
        <v>7.3712238756464016E-2</v>
      </c>
      <c r="I4" s="6"/>
      <c r="J4" s="6"/>
      <c r="K4" s="6"/>
      <c r="L4" s="12" t="s">
        <v>21</v>
      </c>
      <c r="M4" s="17">
        <v>0.75985156055883096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x14ac:dyDescent="0.25">
      <c r="A5" s="6">
        <v>4</v>
      </c>
      <c r="B5" s="6">
        <v>3.2787536009528289</v>
      </c>
      <c r="C5" s="6">
        <f t="shared" si="0"/>
        <v>2.7184315505000165</v>
      </c>
      <c r="D5" s="6">
        <f t="shared" si="1"/>
        <v>0.31396080022364398</v>
      </c>
      <c r="E5" s="6"/>
      <c r="F5" s="6" t="s">
        <v>14</v>
      </c>
      <c r="G5" s="17">
        <v>5.4530503202939808</v>
      </c>
      <c r="H5" s="17">
        <v>0.35406266793823166</v>
      </c>
      <c r="I5" s="6"/>
      <c r="J5" s="6"/>
      <c r="K5" s="6"/>
      <c r="L5" s="12" t="s">
        <v>22</v>
      </c>
      <c r="M5" s="17">
        <v>0.73316840062092326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x14ac:dyDescent="0.25">
      <c r="A6" s="6">
        <v>6</v>
      </c>
      <c r="B6" s="6">
        <v>4.1038037209559572</v>
      </c>
      <c r="C6" s="6">
        <f t="shared" si="0"/>
        <v>2.541352473134276</v>
      </c>
      <c r="D6" s="6">
        <f t="shared" si="1"/>
        <v>2.4412539018195285</v>
      </c>
      <c r="E6" s="6"/>
      <c r="F6" s="6"/>
      <c r="G6" s="6"/>
      <c r="H6" s="6"/>
      <c r="I6" s="6"/>
      <c r="J6" s="6"/>
      <c r="K6" s="6"/>
      <c r="L6" s="6"/>
      <c r="M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x14ac:dyDescent="0.25">
      <c r="A7" s="6">
        <v>8</v>
      </c>
      <c r="B7" s="6">
        <v>2.3324384599156054</v>
      </c>
      <c r="C7" s="6">
        <f t="shared" si="0"/>
        <v>2.4088015174942528</v>
      </c>
      <c r="D7" s="6">
        <f t="shared" si="1"/>
        <v>5.8313165627598123E-3</v>
      </c>
      <c r="E7" s="6"/>
      <c r="F7" s="7" t="s">
        <v>25</v>
      </c>
      <c r="G7" s="6"/>
      <c r="H7" s="6"/>
      <c r="I7" s="6"/>
      <c r="J7" s="6"/>
      <c r="K7" s="6"/>
      <c r="L7" s="6"/>
      <c r="M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1:37" x14ac:dyDescent="0.25">
      <c r="A8" s="6">
        <v>10</v>
      </c>
      <c r="B8" s="6">
        <v>2.8356905714924254</v>
      </c>
      <c r="C8" s="6">
        <f t="shared" si="0"/>
        <v>2.3018454851392693</v>
      </c>
      <c r="D8" s="6">
        <f t="shared" si="1"/>
        <v>0.28499057622340868</v>
      </c>
      <c r="E8" s="6"/>
      <c r="F8" s="6" t="s">
        <v>35</v>
      </c>
      <c r="G8" s="6"/>
      <c r="H8" s="6"/>
      <c r="I8" s="6"/>
      <c r="J8" s="6"/>
      <c r="K8" s="6"/>
      <c r="L8" s="6"/>
      <c r="M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1:37" x14ac:dyDescent="0.25">
      <c r="A9" s="6">
        <v>0</v>
      </c>
      <c r="B9" s="6">
        <v>5.7781512503836439</v>
      </c>
      <c r="C9" s="6">
        <f t="shared" si="0"/>
        <v>5.4530503202939808</v>
      </c>
      <c r="D9" s="6">
        <f t="shared" si="1"/>
        <v>0.10569061474516396</v>
      </c>
      <c r="E9" s="6"/>
      <c r="F9" s="7" t="s">
        <v>28</v>
      </c>
      <c r="G9" s="6"/>
      <c r="H9" s="6"/>
      <c r="I9" s="6"/>
      <c r="J9" s="6"/>
      <c r="K9" s="6"/>
      <c r="L9" s="6"/>
      <c r="M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1:37" x14ac:dyDescent="0.25">
      <c r="A10" s="6">
        <v>1</v>
      </c>
      <c r="B10" s="6">
        <v>2.3617278360175926</v>
      </c>
      <c r="C10" s="6">
        <f t="shared" si="0"/>
        <v>3.246417449570933</v>
      </c>
      <c r="D10" s="6">
        <f t="shared" si="1"/>
        <v>0.78267571232915878</v>
      </c>
      <c r="E10" s="6"/>
      <c r="F10" s="6" t="s">
        <v>36</v>
      </c>
      <c r="G10" s="6"/>
      <c r="H10" s="6"/>
      <c r="I10" s="6"/>
      <c r="J10" s="6"/>
      <c r="K10" s="6"/>
      <c r="L10" s="6"/>
      <c r="M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7" x14ac:dyDescent="0.25">
      <c r="A11" s="6">
        <v>2</v>
      </c>
      <c r="B11" s="6">
        <v>2.7781512503836434</v>
      </c>
      <c r="C11" s="6">
        <f t="shared" si="0"/>
        <v>2.9965691649981405</v>
      </c>
      <c r="D11" s="6">
        <f t="shared" si="1"/>
        <v>4.770638542454575E-2</v>
      </c>
      <c r="E11" s="6"/>
      <c r="F11" s="7" t="s">
        <v>26</v>
      </c>
      <c r="G11" s="6"/>
      <c r="H11" s="6"/>
      <c r="I11" s="6"/>
      <c r="J11" s="6"/>
      <c r="K11" s="6"/>
      <c r="L11" s="6"/>
      <c r="M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x14ac:dyDescent="0.25">
      <c r="A12" s="6">
        <v>4</v>
      </c>
      <c r="B12" s="6">
        <v>2.4771212547196626</v>
      </c>
      <c r="C12" s="6">
        <f t="shared" si="0"/>
        <v>2.7184315505000165</v>
      </c>
      <c r="D12" s="6">
        <f t="shared" si="1"/>
        <v>5.8230658849601886E-2</v>
      </c>
      <c r="E12" s="6"/>
      <c r="F12" s="26" t="s">
        <v>37</v>
      </c>
      <c r="G12" s="27"/>
      <c r="H12" s="27"/>
      <c r="I12" s="27"/>
      <c r="J12" s="27"/>
      <c r="K12" s="27"/>
      <c r="L12" s="27"/>
      <c r="M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1:37" x14ac:dyDescent="0.25">
      <c r="A13" s="6">
        <v>6</v>
      </c>
      <c r="B13" s="6">
        <v>1.4771212547196624</v>
      </c>
      <c r="C13" s="6">
        <f t="shared" si="0"/>
        <v>2.541352473134276</v>
      </c>
      <c r="D13" s="6">
        <f t="shared" si="1"/>
        <v>1.1325880862482531</v>
      </c>
      <c r="E13" s="6"/>
      <c r="F13" s="27"/>
      <c r="G13" s="27"/>
      <c r="H13" s="27"/>
      <c r="I13" s="27"/>
      <c r="J13" s="27"/>
      <c r="K13" s="27"/>
      <c r="L13" s="27"/>
      <c r="M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x14ac:dyDescent="0.25">
      <c r="A14" s="6">
        <v>8</v>
      </c>
      <c r="B14" s="6">
        <v>2</v>
      </c>
      <c r="C14" s="6">
        <f t="shared" si="0"/>
        <v>2.4088015174942528</v>
      </c>
      <c r="D14" s="6">
        <f t="shared" si="1"/>
        <v>0.16711868070560384</v>
      </c>
      <c r="E14" s="6"/>
      <c r="F14" s="27"/>
      <c r="G14" s="27"/>
      <c r="H14" s="27"/>
      <c r="I14" s="27"/>
      <c r="J14" s="27"/>
      <c r="K14" s="27"/>
      <c r="L14" s="27"/>
      <c r="M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x14ac:dyDescent="0.25">
      <c r="A15" s="6">
        <v>10</v>
      </c>
      <c r="B15" s="6">
        <v>1.5440680443502757</v>
      </c>
      <c r="C15" s="6">
        <f t="shared" si="0"/>
        <v>2.3018454851392693</v>
      </c>
      <c r="D15" s="6">
        <f t="shared" si="1"/>
        <v>0.57422664976871685</v>
      </c>
      <c r="E15" s="6"/>
      <c r="F15" s="6"/>
      <c r="G15" s="6"/>
      <c r="H15" s="6"/>
      <c r="I15" s="6"/>
      <c r="J15" s="6"/>
      <c r="K15" s="6"/>
      <c r="L15" s="6"/>
      <c r="M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x14ac:dyDescent="0.25">
      <c r="A16" s="6">
        <v>0</v>
      </c>
      <c r="B16" s="6">
        <v>5.1846914308175984</v>
      </c>
      <c r="C16" s="6">
        <f t="shared" si="0"/>
        <v>5.4530503202939808</v>
      </c>
      <c r="D16" s="6">
        <f t="shared" si="1"/>
        <v>7.2016493560997236E-2</v>
      </c>
      <c r="E16" s="6"/>
      <c r="F16" s="6"/>
      <c r="G16" s="6"/>
      <c r="H16" s="6"/>
      <c r="I16" s="6"/>
      <c r="J16" s="6"/>
      <c r="K16" s="6"/>
      <c r="L16" s="6"/>
      <c r="M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7" x14ac:dyDescent="0.25">
      <c r="A17" s="6">
        <v>1</v>
      </c>
      <c r="B17" s="6">
        <v>3.2944662261615929</v>
      </c>
      <c r="C17" s="6">
        <f t="shared" si="0"/>
        <v>3.246417449570933</v>
      </c>
      <c r="D17" s="6">
        <f t="shared" si="1"/>
        <v>2.3086849318591438E-3</v>
      </c>
      <c r="E17" s="6"/>
      <c r="F17" s="6"/>
      <c r="G17" s="6"/>
      <c r="H17" s="6"/>
      <c r="I17" s="6"/>
      <c r="J17" s="6"/>
      <c r="K17" s="6"/>
      <c r="L17" s="6"/>
      <c r="M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1:37" x14ac:dyDescent="0.25">
      <c r="A18" s="6">
        <v>2</v>
      </c>
      <c r="B18" s="6">
        <v>2.9867717342662448</v>
      </c>
      <c r="C18" s="6">
        <f t="shared" si="0"/>
        <v>2.9965691649981405</v>
      </c>
      <c r="D18" s="6">
        <f t="shared" si="1"/>
        <v>9.5989648946295523E-5</v>
      </c>
      <c r="E18" s="6"/>
      <c r="F18" s="6"/>
      <c r="G18" s="6"/>
      <c r="H18" s="6"/>
      <c r="I18" s="6"/>
      <c r="J18" s="6"/>
      <c r="K18" s="6"/>
      <c r="L18" s="6"/>
      <c r="M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1:37" x14ac:dyDescent="0.25">
      <c r="A19" s="6">
        <v>4</v>
      </c>
      <c r="B19" s="6">
        <v>2.5185139398778875</v>
      </c>
      <c r="C19" s="6">
        <f t="shared" si="0"/>
        <v>2.7184315505000165</v>
      </c>
      <c r="D19" s="6">
        <f t="shared" si="1"/>
        <v>3.9967051036861177E-2</v>
      </c>
      <c r="E19" s="6"/>
      <c r="F19" s="6"/>
      <c r="G19" s="6"/>
      <c r="H19" s="6"/>
      <c r="I19" s="6"/>
      <c r="J19" s="6"/>
      <c r="K19" s="6"/>
      <c r="L19" s="6"/>
      <c r="M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37" x14ac:dyDescent="0.25">
      <c r="A20" s="6">
        <v>6</v>
      </c>
      <c r="B20" s="6">
        <v>3.1238516409670858</v>
      </c>
      <c r="C20" s="6">
        <f t="shared" si="0"/>
        <v>2.541352473134276</v>
      </c>
      <c r="D20" s="6">
        <f t="shared" si="1"/>
        <v>0.33930528052591585</v>
      </c>
      <c r="E20" s="6"/>
      <c r="F20" s="6"/>
      <c r="G20" s="6"/>
      <c r="H20" s="6"/>
      <c r="I20" s="6"/>
      <c r="J20" s="6"/>
      <c r="K20" s="6"/>
      <c r="L20" s="6"/>
      <c r="M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x14ac:dyDescent="0.25">
      <c r="A21" s="6">
        <v>8</v>
      </c>
      <c r="B21" s="6">
        <v>2.2174839442139063</v>
      </c>
      <c r="C21" s="6">
        <f t="shared" si="0"/>
        <v>2.4088015174942528</v>
      </c>
      <c r="D21" s="6">
        <f t="shared" si="1"/>
        <v>3.6602413845880748E-2</v>
      </c>
      <c r="E21" s="6"/>
      <c r="F21" s="6"/>
      <c r="G21" s="6"/>
      <c r="H21" s="6"/>
      <c r="I21" s="6"/>
      <c r="J21" s="6"/>
      <c r="K21" s="6"/>
      <c r="L21" s="6"/>
      <c r="M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1:37" x14ac:dyDescent="0.25">
      <c r="A22" s="6">
        <v>10</v>
      </c>
      <c r="B22" s="6">
        <v>2.2174839442139063</v>
      </c>
      <c r="C22" s="6">
        <f t="shared" si="0"/>
        <v>2.3018454851392693</v>
      </c>
      <c r="D22" s="6">
        <f t="shared" si="1"/>
        <v>7.1168695873017095E-3</v>
      </c>
      <c r="E22" s="6"/>
      <c r="F22" s="6"/>
      <c r="G22" s="6"/>
      <c r="H22" s="6"/>
      <c r="I22" s="6"/>
      <c r="J22" s="6"/>
      <c r="K22" s="6"/>
      <c r="L22" s="6"/>
      <c r="M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37" x14ac:dyDescent="0.25">
      <c r="A23" s="7" t="s">
        <v>10</v>
      </c>
      <c r="B23" s="6"/>
      <c r="C23" s="6"/>
      <c r="D23" s="6">
        <f>SUM(D2:D22)</f>
        <v>6.7709571871551866</v>
      </c>
      <c r="E23" s="6"/>
      <c r="F23" s="6"/>
      <c r="G23" s="6"/>
      <c r="H23" s="6"/>
      <c r="I23" s="6"/>
      <c r="J23" s="6"/>
      <c r="K23" s="6"/>
      <c r="L23" s="6"/>
      <c r="M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1:37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1:37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x14ac:dyDescent="0.25">
      <c r="A26" s="17">
        <v>0</v>
      </c>
      <c r="B26" s="17"/>
      <c r="C26" s="17">
        <f xml:space="preserve"> $G$5 - ((A26 /$G$3)^$G$4)</f>
        <v>5.4530503202939808</v>
      </c>
      <c r="D26" s="6"/>
      <c r="E26" s="6"/>
      <c r="F26" s="6"/>
      <c r="G26" s="6"/>
      <c r="H26" s="6"/>
      <c r="I26" s="6"/>
      <c r="J26" s="6"/>
      <c r="K26" s="6"/>
      <c r="L26" s="6"/>
      <c r="M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x14ac:dyDescent="0.25">
      <c r="A27" s="17">
        <v>0.1</v>
      </c>
      <c r="B27" s="17"/>
      <c r="C27" s="17">
        <f t="shared" ref="C27:C90" si="2" xml:space="preserve"> $G$5 - ((A27 /$G$3)^$G$4)</f>
        <v>3.9078544727138667</v>
      </c>
      <c r="D27" s="6"/>
      <c r="E27" s="6"/>
      <c r="F27" s="6"/>
      <c r="G27" s="6"/>
      <c r="H27" s="6"/>
      <c r="I27" s="6"/>
      <c r="J27" s="6"/>
      <c r="K27" s="6"/>
      <c r="L27" s="6"/>
      <c r="M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1:37" x14ac:dyDescent="0.25">
      <c r="A28" s="17">
        <v>0.2</v>
      </c>
      <c r="B28" s="17"/>
      <c r="C28" s="17">
        <f t="shared" si="2"/>
        <v>3.7328980778513214</v>
      </c>
      <c r="D28" s="6"/>
      <c r="E28" s="6"/>
      <c r="F28" s="6"/>
      <c r="G28" s="6"/>
      <c r="H28" s="6"/>
      <c r="I28" s="6"/>
      <c r="J28" s="6"/>
      <c r="K28" s="6"/>
      <c r="L28" s="6"/>
      <c r="M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7" x14ac:dyDescent="0.25">
      <c r="A29" s="17">
        <v>0.30000000000000004</v>
      </c>
      <c r="B29" s="17"/>
      <c r="C29" s="17">
        <f t="shared" si="2"/>
        <v>3.6215103497391112</v>
      </c>
      <c r="D29" s="6"/>
      <c r="E29" s="6"/>
      <c r="F29" s="6"/>
      <c r="G29" s="6"/>
      <c r="H29" s="6"/>
      <c r="I29" s="6"/>
      <c r="J29" s="6"/>
      <c r="K29" s="6"/>
      <c r="L29" s="6"/>
      <c r="M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1:37" x14ac:dyDescent="0.25">
      <c r="A30" s="17">
        <v>0.4</v>
      </c>
      <c r="B30" s="17"/>
      <c r="C30" s="17">
        <f t="shared" si="2"/>
        <v>3.538132064582646</v>
      </c>
      <c r="D30" s="6"/>
      <c r="E30" s="6"/>
      <c r="F30" s="6"/>
      <c r="G30" s="6"/>
      <c r="H30" s="6"/>
      <c r="I30" s="6"/>
      <c r="J30" s="6"/>
      <c r="K30" s="6"/>
      <c r="L30" s="6"/>
      <c r="M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1:37" x14ac:dyDescent="0.25">
      <c r="A31" s="17">
        <v>0.5</v>
      </c>
      <c r="B31" s="17"/>
      <c r="C31" s="17">
        <f t="shared" si="2"/>
        <v>3.4708537072004737</v>
      </c>
      <c r="D31" s="6"/>
      <c r="E31" s="6"/>
      <c r="F31" s="6"/>
      <c r="G31" s="6"/>
      <c r="H31" s="6"/>
      <c r="I31" s="6"/>
      <c r="J31" s="6"/>
      <c r="K31" s="6"/>
      <c r="L31" s="6"/>
      <c r="M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7" x14ac:dyDescent="0.25">
      <c r="A32" s="17">
        <v>0.6</v>
      </c>
      <c r="B32" s="17"/>
      <c r="C32" s="17">
        <f t="shared" si="2"/>
        <v>3.4141323459755348</v>
      </c>
      <c r="D32" s="6"/>
      <c r="E32" s="6"/>
      <c r="F32" s="6"/>
      <c r="G32" s="6"/>
      <c r="H32" s="6"/>
      <c r="I32" s="6"/>
      <c r="J32" s="6"/>
      <c r="K32" s="6"/>
      <c r="L32" s="6"/>
      <c r="M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1:37" x14ac:dyDescent="0.25">
      <c r="A33" s="17">
        <v>0.7</v>
      </c>
      <c r="B33" s="17"/>
      <c r="C33" s="17">
        <f t="shared" si="2"/>
        <v>3.3649106735324161</v>
      </c>
      <c r="D33" s="6"/>
      <c r="E33" s="6"/>
      <c r="F33" s="6"/>
      <c r="G33" s="6"/>
      <c r="H33" s="6"/>
      <c r="I33" s="6"/>
      <c r="J33" s="6"/>
      <c r="K33" s="6"/>
      <c r="L33" s="6"/>
      <c r="M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1:37" x14ac:dyDescent="0.25">
      <c r="A34" s="17">
        <v>0.79999999999999993</v>
      </c>
      <c r="B34" s="17"/>
      <c r="C34" s="17">
        <f t="shared" si="2"/>
        <v>3.3213134684154322</v>
      </c>
      <c r="D34" s="6"/>
      <c r="E34" s="6"/>
      <c r="F34" s="6"/>
      <c r="G34" s="6"/>
      <c r="H34" s="6"/>
      <c r="I34" s="6"/>
      <c r="J34" s="6"/>
      <c r="K34" s="6"/>
      <c r="L34" s="6"/>
      <c r="M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1:37" x14ac:dyDescent="0.25">
      <c r="A35" s="17">
        <v>0.89999999999999991</v>
      </c>
      <c r="B35" s="17"/>
      <c r="C35" s="17">
        <f t="shared" si="2"/>
        <v>3.2821030782381753</v>
      </c>
      <c r="D35" s="6"/>
      <c r="E35" s="6"/>
      <c r="F35" s="6"/>
      <c r="G35" s="6"/>
      <c r="H35" s="6"/>
      <c r="I35" s="6"/>
      <c r="J35" s="6"/>
      <c r="K35" s="6"/>
      <c r="L35" s="6"/>
      <c r="M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1:37" x14ac:dyDescent="0.25">
      <c r="A36" s="17">
        <v>0.99999999999999989</v>
      </c>
      <c r="B36" s="17"/>
      <c r="C36" s="17">
        <f t="shared" si="2"/>
        <v>3.246417449570933</v>
      </c>
      <c r="D36" s="6"/>
      <c r="E36" s="6"/>
      <c r="F36" s="6"/>
      <c r="G36" s="6"/>
      <c r="H36" s="6"/>
      <c r="I36" s="6"/>
      <c r="J36" s="6"/>
      <c r="K36" s="6"/>
      <c r="L36" s="6"/>
      <c r="M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1:37" x14ac:dyDescent="0.25">
      <c r="A37" s="17">
        <v>1.0999999999999999</v>
      </c>
      <c r="B37" s="17"/>
      <c r="C37" s="17">
        <f t="shared" si="2"/>
        <v>3.2136308048973459</v>
      </c>
      <c r="D37" s="6"/>
      <c r="E37" s="6"/>
      <c r="F37" s="6"/>
      <c r="G37" s="6"/>
      <c r="H37" s="6"/>
      <c r="I37" s="6"/>
      <c r="J37" s="6"/>
      <c r="K37" s="6"/>
      <c r="L37" s="6"/>
      <c r="M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1:37" x14ac:dyDescent="0.25">
      <c r="A38" s="17">
        <v>1.2</v>
      </c>
      <c r="B38" s="17"/>
      <c r="C38" s="17">
        <f t="shared" si="2"/>
        <v>3.1832737536709734</v>
      </c>
      <c r="D38" s="6"/>
      <c r="E38" s="6"/>
      <c r="F38" s="6"/>
      <c r="G38" s="6"/>
      <c r="H38" s="6"/>
      <c r="I38" s="6"/>
      <c r="J38" s="6"/>
      <c r="K38" s="6"/>
      <c r="L38" s="6"/>
      <c r="M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1:37" x14ac:dyDescent="0.25">
      <c r="A39" s="17">
        <v>1.3</v>
      </c>
      <c r="B39" s="17"/>
      <c r="C39" s="17">
        <f t="shared" si="2"/>
        <v>3.1549847083355971</v>
      </c>
      <c r="D39" s="6"/>
      <c r="E39" s="6"/>
      <c r="F39" s="6"/>
      <c r="G39" s="6"/>
      <c r="H39" s="6"/>
      <c r="I39" s="6"/>
      <c r="J39" s="6"/>
      <c r="K39" s="6"/>
      <c r="L39" s="6"/>
      <c r="M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1:37" x14ac:dyDescent="0.25">
      <c r="A40" s="17">
        <v>1.4000000000000001</v>
      </c>
      <c r="B40" s="17"/>
      <c r="C40" s="17">
        <f t="shared" si="2"/>
        <v>3.12847890655667</v>
      </c>
      <c r="D40" s="6"/>
      <c r="E40" s="6"/>
      <c r="F40" s="6"/>
      <c r="G40" s="6"/>
      <c r="H40" s="6"/>
      <c r="I40" s="6"/>
      <c r="J40" s="6"/>
      <c r="K40" s="6"/>
      <c r="L40" s="6"/>
      <c r="M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37" x14ac:dyDescent="0.25">
      <c r="A41" s="17">
        <v>1.5000000000000002</v>
      </c>
      <c r="B41" s="17"/>
      <c r="C41" s="17">
        <f t="shared" si="2"/>
        <v>3.1035278749257644</v>
      </c>
      <c r="D41" s="6"/>
      <c r="E41" s="6"/>
      <c r="F41" s="6"/>
      <c r="G41" s="6"/>
      <c r="H41" s="6"/>
      <c r="I41" s="6"/>
      <c r="J41" s="6"/>
      <c r="K41" s="6"/>
      <c r="L41" s="6"/>
      <c r="M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37" x14ac:dyDescent="0.25">
      <c r="A42" s="17">
        <v>1.6000000000000003</v>
      </c>
      <c r="B42" s="17"/>
      <c r="C42" s="17">
        <f t="shared" si="2"/>
        <v>3.0799453628873303</v>
      </c>
      <c r="D42" s="6"/>
      <c r="E42" s="6"/>
      <c r="F42" s="6"/>
      <c r="G42" s="6"/>
      <c r="H42" s="6"/>
      <c r="I42" s="6"/>
      <c r="J42" s="6"/>
      <c r="K42" s="6"/>
      <c r="L42" s="6"/>
      <c r="M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1:37" x14ac:dyDescent="0.25">
      <c r="A43" s="17">
        <v>1.7000000000000004</v>
      </c>
      <c r="B43" s="17"/>
      <c r="C43" s="17">
        <f t="shared" si="2"/>
        <v>3.0575774369652939</v>
      </c>
      <c r="D43" s="6"/>
      <c r="E43" s="6"/>
      <c r="F43" s="6"/>
      <c r="G43" s="6"/>
      <c r="H43" s="6"/>
      <c r="I43" s="6"/>
      <c r="J43" s="6"/>
      <c r="K43" s="6"/>
      <c r="L43" s="6"/>
      <c r="M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1:37" x14ac:dyDescent="0.25">
      <c r="A44" s="17">
        <v>1.8000000000000005</v>
      </c>
      <c r="B44" s="17"/>
      <c r="C44" s="17">
        <f t="shared" si="2"/>
        <v>3.0362953358075337</v>
      </c>
      <c r="D44" s="6"/>
      <c r="E44" s="6"/>
      <c r="F44" s="6"/>
      <c r="G44" s="6"/>
      <c r="H44" s="6"/>
      <c r="I44" s="6"/>
      <c r="J44" s="6"/>
      <c r="K44" s="6"/>
      <c r="L44" s="6"/>
      <c r="M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1:37" x14ac:dyDescent="0.25">
      <c r="A45" s="17">
        <v>1.9000000000000006</v>
      </c>
      <c r="B45" s="17"/>
      <c r="C45" s="17">
        <f t="shared" si="2"/>
        <v>3.0159902080224912</v>
      </c>
      <c r="D45" s="6"/>
      <c r="E45" s="6"/>
      <c r="F45" s="6"/>
      <c r="G45" s="6"/>
      <c r="H45" s="6"/>
      <c r="I45" s="6"/>
      <c r="J45" s="6"/>
      <c r="K45" s="6"/>
      <c r="L45" s="6"/>
      <c r="M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1:37" x14ac:dyDescent="0.25">
      <c r="A46" s="17">
        <v>2.0000000000000004</v>
      </c>
      <c r="B46" s="17"/>
      <c r="C46" s="17">
        <f t="shared" si="2"/>
        <v>2.9965691649981405</v>
      </c>
      <c r="D46" s="6"/>
      <c r="E46" s="6"/>
      <c r="F46" s="6"/>
      <c r="G46" s="6"/>
      <c r="H46" s="6"/>
      <c r="I46" s="6"/>
      <c r="J46" s="6"/>
      <c r="K46" s="6"/>
      <c r="L46" s="6"/>
      <c r="M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1:37" x14ac:dyDescent="0.25">
      <c r="A47" s="17">
        <v>2.1000000000000005</v>
      </c>
      <c r="B47" s="17"/>
      <c r="C47" s="17">
        <f t="shared" si="2"/>
        <v>2.9779522716332973</v>
      </c>
      <c r="D47" s="6"/>
      <c r="E47" s="6"/>
      <c r="F47" s="6"/>
      <c r="G47" s="6"/>
      <c r="H47" s="6"/>
      <c r="I47" s="6"/>
      <c r="J47" s="6"/>
      <c r="K47" s="6"/>
      <c r="L47" s="6"/>
      <c r="M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1:37" x14ac:dyDescent="0.25">
      <c r="A48" s="17">
        <v>2.2000000000000006</v>
      </c>
      <c r="B48" s="17"/>
      <c r="C48" s="17">
        <f t="shared" si="2"/>
        <v>2.9600702186375454</v>
      </c>
      <c r="D48" s="6"/>
      <c r="E48" s="6"/>
      <c r="F48" s="6"/>
      <c r="G48" s="6"/>
      <c r="H48" s="6"/>
      <c r="I48" s="6"/>
      <c r="J48" s="6"/>
      <c r="K48" s="6"/>
      <c r="L48" s="6"/>
      <c r="M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</row>
    <row r="49" spans="1:37" x14ac:dyDescent="0.25">
      <c r="A49" s="17">
        <v>2.3000000000000007</v>
      </c>
      <c r="B49" s="17"/>
      <c r="C49" s="17">
        <f t="shared" si="2"/>
        <v>2.9428624984542013</v>
      </c>
      <c r="D49" s="6"/>
      <c r="E49" s="6"/>
      <c r="F49" s="6"/>
      <c r="G49" s="6"/>
      <c r="H49" s="6"/>
      <c r="I49" s="6"/>
      <c r="J49" s="6"/>
      <c r="K49" s="6"/>
      <c r="L49" s="6"/>
      <c r="M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1:37" x14ac:dyDescent="0.25">
      <c r="A50" s="17">
        <v>2.4000000000000008</v>
      </c>
      <c r="B50" s="17"/>
      <c r="C50" s="17">
        <f t="shared" si="2"/>
        <v>2.9262759589501601</v>
      </c>
      <c r="D50" s="6"/>
      <c r="E50" s="6"/>
      <c r="F50" s="6"/>
      <c r="G50" s="6"/>
      <c r="H50" s="6"/>
      <c r="I50" s="6"/>
      <c r="J50" s="6"/>
      <c r="K50" s="6"/>
      <c r="L50" s="6"/>
      <c r="M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 spans="1:37" x14ac:dyDescent="0.25">
      <c r="A51" s="17">
        <v>2.5000000000000009</v>
      </c>
      <c r="B51" s="17"/>
      <c r="C51" s="17">
        <f t="shared" si="2"/>
        <v>2.9102636443443761</v>
      </c>
      <c r="D51" s="6"/>
      <c r="E51" s="6"/>
      <c r="F51" s="6"/>
      <c r="G51" s="6"/>
      <c r="H51" s="6"/>
      <c r="I51" s="6"/>
      <c r="J51" s="6"/>
      <c r="K51" s="6"/>
      <c r="L51" s="6"/>
      <c r="M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</row>
    <row r="52" spans="1:37" x14ac:dyDescent="0.25">
      <c r="A52" s="17">
        <v>2.600000000000001</v>
      </c>
      <c r="B52" s="17"/>
      <c r="C52" s="17">
        <f t="shared" si="2"/>
        <v>2.8947838572554669</v>
      </c>
      <c r="D52" s="6"/>
      <c r="E52" s="6"/>
      <c r="F52" s="6"/>
      <c r="G52" s="6"/>
      <c r="H52" s="6"/>
      <c r="I52" s="6"/>
      <c r="J52" s="6"/>
      <c r="K52" s="6"/>
      <c r="L52" s="6"/>
      <c r="M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 spans="1:37" x14ac:dyDescent="0.25">
      <c r="A53" s="17">
        <v>2.7000000000000011</v>
      </c>
      <c r="B53" s="17"/>
      <c r="C53" s="17">
        <f t="shared" si="2"/>
        <v>2.8797993928998658</v>
      </c>
      <c r="D53" s="6"/>
      <c r="E53" s="6"/>
      <c r="F53" s="6"/>
      <c r="G53" s="6"/>
      <c r="H53" s="6"/>
      <c r="I53" s="6"/>
      <c r="J53" s="6"/>
      <c r="K53" s="6"/>
      <c r="L53" s="6"/>
      <c r="M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1:37" x14ac:dyDescent="0.25">
      <c r="A54" s="17">
        <v>2.8000000000000012</v>
      </c>
      <c r="B54" s="17"/>
      <c r="C54" s="17">
        <f t="shared" si="2"/>
        <v>2.8652769087096477</v>
      </c>
      <c r="D54" s="6"/>
      <c r="E54" s="6"/>
      <c r="F54" s="6"/>
      <c r="G54" s="6"/>
      <c r="H54" s="6"/>
      <c r="I54" s="6"/>
      <c r="J54" s="6"/>
      <c r="K54" s="6"/>
      <c r="L54" s="6"/>
      <c r="M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</row>
    <row r="55" spans="1:37" x14ac:dyDescent="0.25">
      <c r="A55" s="17">
        <v>2.9000000000000012</v>
      </c>
      <c r="B55" s="17"/>
      <c r="C55" s="17">
        <f t="shared" si="2"/>
        <v>2.8511864014948496</v>
      </c>
      <c r="D55" s="6"/>
      <c r="E55" s="6"/>
      <c r="F55" s="6"/>
      <c r="G55" s="6"/>
      <c r="H55" s="6"/>
      <c r="I55" s="6"/>
      <c r="J55" s="6"/>
      <c r="K55" s="6"/>
      <c r="L55" s="6"/>
      <c r="M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</row>
    <row r="56" spans="1:37" x14ac:dyDescent="0.25">
      <c r="A56" s="17">
        <v>3.0000000000000013</v>
      </c>
      <c r="B56" s="17"/>
      <c r="C56" s="17">
        <f t="shared" si="2"/>
        <v>2.837500770766761</v>
      </c>
      <c r="D56" s="6"/>
      <c r="E56" s="6"/>
      <c r="F56" s="6"/>
      <c r="G56" s="6"/>
      <c r="H56" s="6"/>
      <c r="I56" s="6"/>
      <c r="J56" s="6"/>
      <c r="K56" s="6"/>
      <c r="L56" s="6"/>
      <c r="M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</row>
    <row r="57" spans="1:37" x14ac:dyDescent="0.25">
      <c r="A57" s="17">
        <v>3.1000000000000014</v>
      </c>
      <c r="B57" s="17"/>
      <c r="C57" s="17">
        <f t="shared" si="2"/>
        <v>2.8241954516545484</v>
      </c>
      <c r="D57" s="6"/>
      <c r="E57" s="6"/>
      <c r="F57" s="6"/>
      <c r="G57" s="6"/>
      <c r="H57" s="6"/>
      <c r="I57" s="6"/>
      <c r="J57" s="6"/>
      <c r="K57" s="6"/>
      <c r="L57" s="6"/>
      <c r="M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</row>
    <row r="58" spans="1:37" x14ac:dyDescent="0.25">
      <c r="A58" s="17">
        <v>3.2000000000000015</v>
      </c>
      <c r="B58" s="17"/>
      <c r="C58" s="17">
        <f t="shared" si="2"/>
        <v>2.811248104459851</v>
      </c>
      <c r="D58" s="6"/>
      <c r="E58" s="6"/>
      <c r="F58" s="6"/>
      <c r="G58" s="6"/>
      <c r="H58" s="6"/>
      <c r="I58" s="6"/>
      <c r="J58" s="6"/>
      <c r="K58" s="6"/>
      <c r="L58" s="6"/>
      <c r="M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</row>
    <row r="59" spans="1:37" x14ac:dyDescent="0.25">
      <c r="A59" s="17">
        <v>3.3000000000000016</v>
      </c>
      <c r="B59" s="17"/>
      <c r="C59" s="17">
        <f t="shared" si="2"/>
        <v>2.7986383506314123</v>
      </c>
      <c r="D59" s="6"/>
      <c r="E59" s="6"/>
      <c r="F59" s="6"/>
      <c r="G59" s="6"/>
      <c r="H59" s="6"/>
      <c r="I59" s="6"/>
      <c r="J59" s="6"/>
      <c r="K59" s="6"/>
      <c r="L59" s="6"/>
      <c r="M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</row>
    <row r="60" spans="1:37" x14ac:dyDescent="0.25">
      <c r="A60" s="17">
        <v>3.4000000000000017</v>
      </c>
      <c r="B60" s="17"/>
      <c r="C60" s="17">
        <f t="shared" si="2"/>
        <v>2.7863475470361183</v>
      </c>
      <c r="D60" s="6"/>
      <c r="E60" s="6"/>
      <c r="F60" s="6"/>
      <c r="G60" s="6"/>
      <c r="H60" s="6"/>
      <c r="I60" s="6"/>
      <c r="J60" s="6"/>
      <c r="K60" s="6"/>
      <c r="L60" s="6"/>
      <c r="M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</row>
    <row r="61" spans="1:37" x14ac:dyDescent="0.25">
      <c r="A61" s="17">
        <v>3.5000000000000018</v>
      </c>
      <c r="B61" s="17"/>
      <c r="C61" s="17">
        <f t="shared" si="2"/>
        <v>2.7743585920194236</v>
      </c>
      <c r="D61" s="6"/>
      <c r="E61" s="6"/>
      <c r="F61" s="6"/>
      <c r="G61" s="6"/>
      <c r="H61" s="6"/>
      <c r="I61" s="6"/>
      <c r="J61" s="6"/>
      <c r="K61" s="6"/>
      <c r="L61" s="6"/>
      <c r="M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</row>
    <row r="62" spans="1:37" x14ac:dyDescent="0.25">
      <c r="A62" s="17">
        <v>3.6000000000000019</v>
      </c>
      <c r="B62" s="17"/>
      <c r="C62" s="17">
        <f t="shared" si="2"/>
        <v>2.7626557580064341</v>
      </c>
      <c r="D62" s="6"/>
      <c r="E62" s="6"/>
      <c r="F62" s="6"/>
      <c r="G62" s="6"/>
      <c r="H62" s="6"/>
      <c r="I62" s="6"/>
      <c r="J62" s="6"/>
      <c r="K62" s="6"/>
      <c r="L62" s="6"/>
      <c r="M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</row>
    <row r="63" spans="1:37" x14ac:dyDescent="0.25">
      <c r="A63" s="17">
        <v>3.700000000000002</v>
      </c>
      <c r="B63" s="17"/>
      <c r="C63" s="17">
        <f t="shared" si="2"/>
        <v>2.7512245463819891</v>
      </c>
      <c r="D63" s="6"/>
      <c r="E63" s="6"/>
      <c r="F63" s="6"/>
      <c r="G63" s="6"/>
      <c r="H63" s="6"/>
      <c r="I63" s="6"/>
      <c r="J63" s="6"/>
      <c r="K63" s="6"/>
      <c r="L63" s="6"/>
      <c r="M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</row>
    <row r="64" spans="1:37" x14ac:dyDescent="0.25">
      <c r="A64" s="17">
        <v>3.800000000000002</v>
      </c>
      <c r="B64" s="17"/>
      <c r="C64" s="17">
        <f t="shared" si="2"/>
        <v>2.7400515611680687</v>
      </c>
      <c r="D64" s="6"/>
      <c r="E64" s="6"/>
      <c r="F64" s="6"/>
      <c r="G64" s="6"/>
      <c r="H64" s="6"/>
      <c r="I64" s="6"/>
      <c r="J64" s="6"/>
      <c r="K64" s="6"/>
      <c r="L64" s="6"/>
      <c r="M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</row>
    <row r="65" spans="1:37" x14ac:dyDescent="0.25">
      <c r="A65" s="17">
        <v>3.9000000000000021</v>
      </c>
      <c r="B65" s="17"/>
      <c r="C65" s="17">
        <f t="shared" si="2"/>
        <v>2.729124398637508</v>
      </c>
      <c r="D65" s="6"/>
      <c r="E65" s="6"/>
      <c r="F65" s="6"/>
      <c r="G65" s="6"/>
      <c r="H65" s="6"/>
      <c r="I65" s="6"/>
      <c r="J65" s="6"/>
      <c r="K65" s="6"/>
      <c r="L65" s="6"/>
      <c r="M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</row>
    <row r="66" spans="1:37" x14ac:dyDescent="0.25">
      <c r="A66" s="17">
        <v>4.0000000000000018</v>
      </c>
      <c r="B66" s="17"/>
      <c r="C66" s="17">
        <f t="shared" si="2"/>
        <v>2.7184315505000165</v>
      </c>
      <c r="D66" s="6"/>
      <c r="E66" s="6"/>
      <c r="F66" s="6"/>
      <c r="G66" s="6"/>
      <c r="H66" s="6"/>
      <c r="I66" s="6"/>
      <c r="J66" s="6"/>
      <c r="K66" s="6"/>
      <c r="L66" s="6"/>
      <c r="M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</row>
    <row r="67" spans="1:37" x14ac:dyDescent="0.25">
      <c r="A67" s="17">
        <v>4.1000000000000014</v>
      </c>
      <c r="B67" s="17"/>
      <c r="C67" s="17">
        <f t="shared" si="2"/>
        <v>2.7079623186970583</v>
      </c>
      <c r="D67" s="6"/>
      <c r="E67" s="6"/>
      <c r="F67" s="6"/>
      <c r="G67" s="6"/>
      <c r="H67" s="6"/>
      <c r="I67" s="6"/>
      <c r="J67" s="6"/>
      <c r="K67" s="6"/>
      <c r="L67" s="6"/>
      <c r="M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</row>
    <row r="68" spans="1:37" x14ac:dyDescent="0.25">
      <c r="A68" s="17">
        <v>4.2000000000000011</v>
      </c>
      <c r="B68" s="17"/>
      <c r="C68" s="17">
        <f t="shared" si="2"/>
        <v>2.6977067401667485</v>
      </c>
      <c r="D68" s="6"/>
      <c r="E68" s="6"/>
      <c r="F68" s="6"/>
      <c r="G68" s="6"/>
      <c r="H68" s="6"/>
      <c r="I68" s="6"/>
      <c r="J68" s="6"/>
      <c r="K68" s="6"/>
      <c r="L68" s="6"/>
      <c r="M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</row>
    <row r="69" spans="1:37" x14ac:dyDescent="0.25">
      <c r="A69" s="17">
        <v>4.3000000000000007</v>
      </c>
      <c r="B69" s="17"/>
      <c r="C69" s="17">
        <f t="shared" si="2"/>
        <v>2.6876555202045034</v>
      </c>
      <c r="D69" s="6"/>
      <c r="E69" s="6"/>
      <c r="F69" s="6"/>
      <c r="G69" s="6"/>
      <c r="H69" s="6"/>
      <c r="I69" s="6"/>
      <c r="J69" s="6"/>
      <c r="K69" s="6"/>
      <c r="L69" s="6"/>
      <c r="M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</row>
    <row r="70" spans="1:37" x14ac:dyDescent="0.25">
      <c r="A70" s="17">
        <v>4.4000000000000004</v>
      </c>
      <c r="B70" s="17"/>
      <c r="C70" s="17">
        <f t="shared" si="2"/>
        <v>2.6777999732618971</v>
      </c>
      <c r="D70" s="6"/>
      <c r="E70" s="6"/>
      <c r="F70" s="6"/>
      <c r="G70" s="6"/>
      <c r="H70" s="6"/>
      <c r="I70" s="6"/>
      <c r="J70" s="6"/>
      <c r="K70" s="6"/>
      <c r="L70" s="6"/>
      <c r="M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</row>
    <row r="71" spans="1:37" x14ac:dyDescent="0.25">
      <c r="A71" s="17">
        <v>4.5</v>
      </c>
      <c r="B71" s="17"/>
      <c r="C71" s="17">
        <f t="shared" si="2"/>
        <v>2.6681319702046431</v>
      </c>
      <c r="D71" s="6"/>
      <c r="E71" s="6"/>
      <c r="F71" s="6"/>
      <c r="G71" s="6"/>
      <c r="H71" s="6"/>
      <c r="I71" s="6"/>
      <c r="J71" s="6"/>
      <c r="K71" s="6"/>
      <c r="L71" s="6"/>
      <c r="M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</row>
    <row r="72" spans="1:37" x14ac:dyDescent="0.25">
      <c r="A72" s="17">
        <v>4.5999999999999996</v>
      </c>
      <c r="B72" s="17"/>
      <c r="C72" s="17">
        <f t="shared" si="2"/>
        <v>2.6586438911982153</v>
      </c>
      <c r="D72" s="6"/>
      <c r="E72" s="6"/>
      <c r="F72" s="6"/>
      <c r="G72" s="6"/>
      <c r="H72" s="6"/>
      <c r="I72" s="6"/>
      <c r="J72" s="6"/>
      <c r="K72" s="6"/>
      <c r="L72" s="6"/>
      <c r="M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</row>
    <row r="73" spans="1:37" x14ac:dyDescent="0.25">
      <c r="A73" s="17">
        <v>4.6999999999999993</v>
      </c>
      <c r="B73" s="17"/>
      <c r="C73" s="17">
        <f t="shared" si="2"/>
        <v>2.6493285835122808</v>
      </c>
      <c r="D73" s="6"/>
      <c r="E73" s="6"/>
      <c r="F73" s="6"/>
      <c r="G73" s="6"/>
      <c r="H73" s="6"/>
      <c r="I73" s="6"/>
      <c r="J73" s="6"/>
      <c r="K73" s="6"/>
      <c r="L73" s="6"/>
      <c r="M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</row>
    <row r="74" spans="1:37" x14ac:dyDescent="0.25">
      <c r="A74" s="17">
        <v>4.7999999999999989</v>
      </c>
      <c r="B74" s="17"/>
      <c r="C74" s="17">
        <f t="shared" si="2"/>
        <v>2.6401793236374616</v>
      </c>
      <c r="D74" s="6"/>
      <c r="E74" s="6"/>
      <c r="F74" s="6"/>
      <c r="G74" s="6"/>
      <c r="H74" s="6"/>
      <c r="I74" s="6"/>
      <c r="J74" s="6"/>
      <c r="K74" s="6"/>
      <c r="L74" s="6"/>
      <c r="M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</row>
    <row r="75" spans="1:37" x14ac:dyDescent="0.25">
      <c r="A75" s="17">
        <v>4.8999999999999986</v>
      </c>
      <c r="B75" s="17"/>
      <c r="C75" s="17">
        <f t="shared" si="2"/>
        <v>2.6311897831937214</v>
      </c>
      <c r="D75" s="6"/>
      <c r="E75" s="6"/>
      <c r="F75" s="6"/>
      <c r="G75" s="6"/>
      <c r="H75" s="6"/>
      <c r="I75" s="6"/>
      <c r="J75" s="6"/>
      <c r="K75" s="6"/>
      <c r="L75" s="6"/>
      <c r="M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</row>
    <row r="76" spans="1:37" x14ac:dyDescent="0.25">
      <c r="A76" s="17">
        <v>4.9999999999999982</v>
      </c>
      <c r="B76" s="17"/>
      <c r="C76" s="17">
        <f t="shared" si="2"/>
        <v>2.62235399818181</v>
      </c>
      <c r="D76" s="6"/>
      <c r="E76" s="6"/>
      <c r="F76" s="6"/>
      <c r="G76" s="6"/>
      <c r="H76" s="6"/>
      <c r="I76" s="6"/>
      <c r="J76" s="6"/>
      <c r="K76" s="6"/>
      <c r="L76" s="6"/>
      <c r="M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</row>
    <row r="77" spans="1:37" x14ac:dyDescent="0.25">
      <c r="A77" s="17">
        <v>5.0999999999999979</v>
      </c>
      <c r="B77" s="17"/>
      <c r="C77" s="17">
        <f t="shared" si="2"/>
        <v>2.6136663411901049</v>
      </c>
      <c r="D77" s="6"/>
      <c r="E77" s="6"/>
      <c r="F77" s="6"/>
      <c r="G77" s="6"/>
      <c r="H77" s="6"/>
      <c r="I77" s="6"/>
      <c r="J77" s="6"/>
      <c r="K77" s="6"/>
      <c r="L77" s="6"/>
      <c r="M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</row>
    <row r="78" spans="1:37" x14ac:dyDescent="0.25">
      <c r="A78" s="17">
        <v>5.1999999999999975</v>
      </c>
      <c r="B78" s="17"/>
      <c r="C78" s="17">
        <f t="shared" si="2"/>
        <v>2.6051214962208307</v>
      </c>
      <c r="D78" s="6"/>
      <c r="E78" s="6"/>
      <c r="F78" s="6"/>
      <c r="G78" s="6"/>
      <c r="H78" s="6"/>
      <c r="I78" s="6"/>
      <c r="J78" s="6"/>
      <c r="K78" s="6"/>
      <c r="L78" s="6"/>
      <c r="M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</row>
    <row r="79" spans="1:37" x14ac:dyDescent="0.25">
      <c r="A79" s="17">
        <v>5.2999999999999972</v>
      </c>
      <c r="B79" s="17"/>
      <c r="C79" s="17">
        <f t="shared" si="2"/>
        <v>2.5967144358435066</v>
      </c>
      <c r="D79" s="6"/>
      <c r="E79" s="6"/>
      <c r="F79" s="6"/>
      <c r="G79" s="6"/>
      <c r="H79" s="6"/>
      <c r="I79" s="6"/>
      <c r="J79" s="6"/>
      <c r="K79" s="6"/>
      <c r="L79" s="6"/>
      <c r="M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</row>
    <row r="80" spans="1:37" x14ac:dyDescent="0.25">
      <c r="A80" s="17">
        <v>5.3999999999999968</v>
      </c>
      <c r="B80" s="17"/>
      <c r="C80" s="17">
        <f t="shared" si="2"/>
        <v>2.5884404004209314</v>
      </c>
      <c r="D80" s="6"/>
      <c r="E80" s="6"/>
      <c r="F80" s="6"/>
      <c r="G80" s="6"/>
      <c r="H80" s="6"/>
      <c r="I80" s="6"/>
      <c r="J80" s="6"/>
      <c r="K80" s="6"/>
      <c r="L80" s="6"/>
      <c r="M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</row>
    <row r="81" spans="1:37" x14ac:dyDescent="0.25">
      <c r="A81" s="17">
        <v>5.4999999999999964</v>
      </c>
      <c r="B81" s="17"/>
      <c r="C81" s="17">
        <f t="shared" si="2"/>
        <v>2.580294879185042</v>
      </c>
      <c r="D81" s="6"/>
      <c r="E81" s="6"/>
      <c r="F81" s="6"/>
      <c r="G81" s="6"/>
      <c r="H81" s="6"/>
      <c r="I81" s="6"/>
      <c r="J81" s="6"/>
      <c r="K81" s="6"/>
      <c r="L81" s="6"/>
      <c r="M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</row>
    <row r="82" spans="1:37" x14ac:dyDescent="0.25">
      <c r="A82" s="17">
        <v>5.5999999999999961</v>
      </c>
      <c r="B82" s="17"/>
      <c r="C82" s="17">
        <f t="shared" si="2"/>
        <v>2.5722735929675178</v>
      </c>
      <c r="D82" s="6"/>
      <c r="E82" s="6"/>
      <c r="F82" s="6"/>
      <c r="G82" s="6"/>
      <c r="H82" s="6"/>
      <c r="I82" s="6"/>
      <c r="J82" s="6"/>
      <c r="K82" s="6"/>
      <c r="L82" s="6"/>
      <c r="M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</row>
    <row r="83" spans="1:37" x14ac:dyDescent="0.25">
      <c r="A83" s="17">
        <v>5.6999999999999957</v>
      </c>
      <c r="B83" s="17"/>
      <c r="C83" s="17">
        <f t="shared" si="2"/>
        <v>2.5643724784136519</v>
      </c>
      <c r="D83" s="6"/>
      <c r="E83" s="6"/>
      <c r="F83" s="6"/>
      <c r="G83" s="6"/>
      <c r="H83" s="6"/>
      <c r="I83" s="6"/>
      <c r="J83" s="6"/>
      <c r="K83" s="6"/>
      <c r="L83" s="6"/>
      <c r="M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</row>
    <row r="84" spans="1:37" x14ac:dyDescent="0.25">
      <c r="A84" s="17">
        <v>5.7999999999999954</v>
      </c>
      <c r="B84" s="17"/>
      <c r="C84" s="17">
        <f t="shared" si="2"/>
        <v>2.5565876735284725</v>
      </c>
      <c r="D84" s="6"/>
      <c r="E84" s="6"/>
      <c r="F84" s="6"/>
      <c r="G84" s="6"/>
      <c r="H84" s="6"/>
      <c r="I84" s="6"/>
      <c r="J84" s="6"/>
      <c r="K84" s="6"/>
      <c r="L84" s="6"/>
      <c r="M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</row>
    <row r="85" spans="1:37" x14ac:dyDescent="0.25">
      <c r="A85" s="17">
        <v>5.899999999999995</v>
      </c>
      <c r="B85" s="17"/>
      <c r="C85" s="17">
        <f t="shared" si="2"/>
        <v>2.5489155044218008</v>
      </c>
      <c r="D85" s="6"/>
      <c r="E85" s="6"/>
      <c r="F85" s="6"/>
      <c r="G85" s="6"/>
      <c r="H85" s="6"/>
      <c r="I85" s="6"/>
      <c r="J85" s="6"/>
      <c r="K85" s="6"/>
      <c r="L85" s="6"/>
      <c r="M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</row>
    <row r="86" spans="1:37" x14ac:dyDescent="0.25">
      <c r="A86" s="17">
        <v>5.9999999999999947</v>
      </c>
      <c r="B86" s="17"/>
      <c r="C86" s="17">
        <f t="shared" si="2"/>
        <v>2.541352473134276</v>
      </c>
      <c r="D86" s="6"/>
      <c r="E86" s="6"/>
      <c r="F86" s="6"/>
      <c r="G86" s="6"/>
      <c r="H86" s="6"/>
      <c r="I86" s="6"/>
      <c r="J86" s="6"/>
      <c r="K86" s="6"/>
      <c r="L86" s="6"/>
      <c r="M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</row>
    <row r="87" spans="1:37" x14ac:dyDescent="0.25">
      <c r="A87" s="17">
        <v>6.0999999999999943</v>
      </c>
      <c r="B87" s="17"/>
      <c r="C87" s="17">
        <f t="shared" si="2"/>
        <v>2.5338952464397706</v>
      </c>
      <c r="D87" s="6"/>
      <c r="E87" s="6"/>
      <c r="F87" s="6"/>
      <c r="G87" s="6"/>
      <c r="H87" s="6"/>
      <c r="I87" s="6"/>
      <c r="J87" s="6"/>
      <c r="K87" s="6"/>
      <c r="L87" s="6"/>
      <c r="M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</row>
    <row r="88" spans="1:37" x14ac:dyDescent="0.25">
      <c r="A88" s="17">
        <v>6.199999999999994</v>
      </c>
      <c r="B88" s="17"/>
      <c r="C88" s="17">
        <f t="shared" si="2"/>
        <v>2.5265406455312376</v>
      </c>
      <c r="D88" s="6"/>
      <c r="E88" s="6"/>
      <c r="F88" s="6"/>
      <c r="G88" s="6"/>
      <c r="H88" s="6"/>
      <c r="I88" s="6"/>
      <c r="J88" s="6"/>
      <c r="K88" s="6"/>
      <c r="L88" s="6"/>
      <c r="M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</row>
    <row r="89" spans="1:37" x14ac:dyDescent="0.25">
      <c r="A89" s="17">
        <v>6.2999999999999936</v>
      </c>
      <c r="B89" s="17"/>
      <c r="C89" s="17">
        <f t="shared" si="2"/>
        <v>2.5192856365072771</v>
      </c>
      <c r="D89" s="6"/>
      <c r="E89" s="6"/>
      <c r="F89" s="6"/>
      <c r="G89" s="6"/>
      <c r="H89" s="6"/>
      <c r="I89" s="6"/>
      <c r="J89" s="6"/>
      <c r="K89" s="6"/>
      <c r="L89" s="6"/>
      <c r="M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</row>
    <row r="90" spans="1:37" x14ac:dyDescent="0.25">
      <c r="A90" s="17">
        <v>6.3999999999999932</v>
      </c>
      <c r="B90" s="17"/>
      <c r="C90" s="17">
        <f t="shared" si="2"/>
        <v>2.5121273215855897</v>
      </c>
      <c r="D90" s="6"/>
      <c r="E90" s="6"/>
      <c r="F90" s="6"/>
      <c r="G90" s="6"/>
      <c r="H90" s="6"/>
      <c r="I90" s="6"/>
      <c r="J90" s="6"/>
      <c r="K90" s="6"/>
      <c r="L90" s="6"/>
      <c r="M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</row>
    <row r="91" spans="1:37" x14ac:dyDescent="0.25">
      <c r="A91" s="17">
        <v>6.4999999999999929</v>
      </c>
      <c r="B91" s="17"/>
      <c r="C91" s="17">
        <f t="shared" ref="C91:C126" si="3" xml:space="preserve"> $G$5 - ((A91 /$G$3)^$G$4)</f>
        <v>2.5050629309773718</v>
      </c>
      <c r="D91" s="6"/>
      <c r="E91" s="6"/>
      <c r="F91" s="6"/>
      <c r="G91" s="6"/>
      <c r="H91" s="6"/>
      <c r="I91" s="6"/>
      <c r="J91" s="6"/>
      <c r="K91" s="6"/>
      <c r="L91" s="6"/>
      <c r="M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</row>
    <row r="92" spans="1:37" x14ac:dyDescent="0.25">
      <c r="A92" s="17">
        <v>6.5999999999999925</v>
      </c>
      <c r="B92" s="17"/>
      <c r="C92" s="17">
        <f t="shared" si="3"/>
        <v>2.4980898153635742</v>
      </c>
      <c r="D92" s="6"/>
      <c r="E92" s="6"/>
      <c r="F92" s="6"/>
      <c r="G92" s="6"/>
      <c r="H92" s="6"/>
      <c r="I92" s="6"/>
      <c r="J92" s="6"/>
      <c r="K92" s="6"/>
      <c r="L92" s="6"/>
      <c r="M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</row>
    <row r="93" spans="1:37" x14ac:dyDescent="0.25">
      <c r="A93" s="17">
        <v>6.6999999999999922</v>
      </c>
      <c r="B93" s="17"/>
      <c r="C93" s="17">
        <f t="shared" si="3"/>
        <v>2.4912054389200629</v>
      </c>
      <c r="D93" s="6"/>
      <c r="E93" s="6"/>
      <c r="F93" s="6"/>
      <c r="G93" s="6"/>
      <c r="H93" s="6"/>
      <c r="I93" s="6"/>
      <c r="J93" s="6"/>
      <c r="K93" s="6"/>
      <c r="L93" s="6"/>
      <c r="M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</row>
    <row r="94" spans="1:37" x14ac:dyDescent="0.25">
      <c r="A94" s="17">
        <v>6.7999999999999918</v>
      </c>
      <c r="B94" s="17"/>
      <c r="C94" s="17">
        <f t="shared" si="3"/>
        <v>2.4844073728440859</v>
      </c>
      <c r="D94" s="6"/>
      <c r="E94" s="6"/>
      <c r="F94" s="6"/>
      <c r="G94" s="6"/>
      <c r="H94" s="6"/>
      <c r="I94" s="6"/>
      <c r="J94" s="6"/>
      <c r="K94" s="6"/>
      <c r="L94" s="6"/>
      <c r="M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</row>
    <row r="95" spans="1:37" x14ac:dyDescent="0.25">
      <c r="A95" s="17">
        <v>6.8999999999999915</v>
      </c>
      <c r="B95" s="17"/>
      <c r="C95" s="17">
        <f t="shared" si="3"/>
        <v>2.4776932893392032</v>
      </c>
      <c r="D95" s="6"/>
      <c r="E95" s="6"/>
      <c r="F95" s="6"/>
      <c r="G95" s="6"/>
      <c r="H95" s="6"/>
      <c r="I95" s="6"/>
      <c r="J95" s="6"/>
      <c r="K95" s="6"/>
      <c r="L95" s="6"/>
      <c r="M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</row>
    <row r="96" spans="1:37" x14ac:dyDescent="0.25">
      <c r="A96" s="17">
        <v>6.9999999999999911</v>
      </c>
      <c r="B96" s="17"/>
      <c r="C96" s="17">
        <f t="shared" si="3"/>
        <v>2.4710609560200898</v>
      </c>
      <c r="D96" s="6"/>
      <c r="E96" s="6"/>
      <c r="F96" s="6"/>
      <c r="G96" s="6"/>
      <c r="H96" s="6"/>
      <c r="I96" s="6"/>
      <c r="J96" s="6"/>
      <c r="K96" s="6"/>
      <c r="L96" s="6"/>
      <c r="M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</row>
    <row r="97" spans="1:37" x14ac:dyDescent="0.25">
      <c r="A97" s="17">
        <v>7.0999999999999908</v>
      </c>
      <c r="B97" s="17"/>
      <c r="C97" s="17">
        <f t="shared" si="3"/>
        <v>2.4645082307023447</v>
      </c>
      <c r="D97" s="6"/>
      <c r="E97" s="6"/>
      <c r="F97" s="6"/>
      <c r="G97" s="6"/>
      <c r="H97" s="6"/>
      <c r="I97" s="6"/>
      <c r="J97" s="6"/>
      <c r="K97" s="6"/>
      <c r="L97" s="6"/>
      <c r="M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</row>
    <row r="98" spans="1:37" x14ac:dyDescent="0.25">
      <c r="A98" s="17">
        <v>7.1999999999999904</v>
      </c>
      <c r="B98" s="17"/>
      <c r="C98" s="17">
        <f t="shared" si="3"/>
        <v>2.4580330565457906</v>
      </c>
      <c r="D98" s="6"/>
      <c r="E98" s="6"/>
      <c r="F98" s="6"/>
      <c r="G98" s="6"/>
      <c r="H98" s="6"/>
      <c r="I98" s="6"/>
      <c r="J98" s="6"/>
      <c r="K98" s="6"/>
      <c r="L98" s="6"/>
      <c r="M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</row>
    <row r="99" spans="1:37" x14ac:dyDescent="0.25">
      <c r="A99" s="17">
        <v>7.2999999999999901</v>
      </c>
      <c r="B99" s="17"/>
      <c r="C99" s="17">
        <f t="shared" si="3"/>
        <v>2.451633457522743</v>
      </c>
      <c r="D99" s="6"/>
      <c r="E99" s="6"/>
      <c r="F99" s="6"/>
      <c r="G99" s="6"/>
      <c r="H99" s="6"/>
      <c r="I99" s="6"/>
      <c r="J99" s="6"/>
      <c r="K99" s="6"/>
      <c r="L99" s="6"/>
      <c r="M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</row>
    <row r="100" spans="1:37" x14ac:dyDescent="0.25">
      <c r="A100" s="17">
        <v>7.3999999999999897</v>
      </c>
      <c r="B100" s="17"/>
      <c r="C100" s="17">
        <f t="shared" si="3"/>
        <v>2.4453075341853596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</row>
    <row r="101" spans="1:37" x14ac:dyDescent="0.25">
      <c r="A101" s="17">
        <v>7.4999999999999893</v>
      </c>
      <c r="B101" s="17"/>
      <c r="C101" s="17">
        <f t="shared" si="3"/>
        <v>2.4390534597085862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</row>
    <row r="102" spans="1:37" x14ac:dyDescent="0.25">
      <c r="A102" s="17">
        <v>7.599999999999989</v>
      </c>
      <c r="B102" s="17"/>
      <c r="C102" s="17">
        <f t="shared" si="3"/>
        <v>2.4328694761873382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</row>
    <row r="103" spans="1:37" x14ac:dyDescent="0.25">
      <c r="A103" s="17">
        <v>7.6999999999999886</v>
      </c>
      <c r="B103" s="17"/>
      <c r="C103" s="17">
        <f t="shared" si="3"/>
        <v>2.4267538911684601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</row>
    <row r="104" spans="1:37" x14ac:dyDescent="0.25">
      <c r="A104" s="17">
        <v>7.7999999999999883</v>
      </c>
      <c r="B104" s="17"/>
      <c r="C104" s="17">
        <f t="shared" si="3"/>
        <v>2.4207050743997489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</row>
    <row r="105" spans="1:37" x14ac:dyDescent="0.25">
      <c r="A105" s="17">
        <v>7.8999999999999879</v>
      </c>
      <c r="B105" s="17"/>
      <c r="C105" s="17">
        <f t="shared" si="3"/>
        <v>2.4147214547798512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</row>
    <row r="106" spans="1:37" x14ac:dyDescent="0.25">
      <c r="A106" s="17">
        <v>7.9999999999999876</v>
      </c>
      <c r="B106" s="17"/>
      <c r="C106" s="17">
        <f t="shared" si="3"/>
        <v>2.4088015174942536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</row>
    <row r="107" spans="1:37" x14ac:dyDescent="0.25">
      <c r="A107" s="17">
        <v>8.0999999999999872</v>
      </c>
      <c r="B107" s="17"/>
      <c r="C107" s="17">
        <f t="shared" si="3"/>
        <v>2.4029438013238344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</row>
    <row r="108" spans="1:37" x14ac:dyDescent="0.25">
      <c r="A108" s="17">
        <v>8.1999999999999869</v>
      </c>
      <c r="B108" s="17"/>
      <c r="C108" s="17">
        <f t="shared" si="3"/>
        <v>2.3971468961135955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</row>
    <row r="109" spans="1:37" x14ac:dyDescent="0.25">
      <c r="A109" s="17">
        <v>8.2999999999999865</v>
      </c>
      <c r="B109" s="17"/>
      <c r="C109" s="17">
        <f t="shared" si="3"/>
        <v>2.3914094403902042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</row>
    <row r="110" spans="1:37" x14ac:dyDescent="0.25">
      <c r="A110" s="17">
        <v>8.3999999999999861</v>
      </c>
      <c r="B110" s="17"/>
      <c r="C110" s="17">
        <f t="shared" si="3"/>
        <v>2.385730119117925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</row>
    <row r="111" spans="1:37" x14ac:dyDescent="0.25">
      <c r="A111" s="17">
        <v>8.4999999999999858</v>
      </c>
      <c r="B111" s="17"/>
      <c r="C111" s="17">
        <f t="shared" si="3"/>
        <v>2.3801076615833523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</row>
    <row r="112" spans="1:37" x14ac:dyDescent="0.25">
      <c r="A112" s="17">
        <v>8.5999999999999854</v>
      </c>
      <c r="B112" s="17"/>
      <c r="C112" s="17">
        <f t="shared" si="3"/>
        <v>2.3745408394001357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</row>
    <row r="113" spans="1:37" x14ac:dyDescent="0.25">
      <c r="A113" s="17">
        <v>8.6999999999999851</v>
      </c>
      <c r="B113" s="17"/>
      <c r="C113" s="17">
        <f t="shared" si="3"/>
        <v>2.3690284646255768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</row>
    <row r="114" spans="1:37" x14ac:dyDescent="0.25">
      <c r="A114" s="17">
        <v>8.7999999999999847</v>
      </c>
      <c r="B114" s="17"/>
      <c r="C114" s="17">
        <f t="shared" si="3"/>
        <v>2.3635693879816162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</row>
    <row r="115" spans="1:37" x14ac:dyDescent="0.25">
      <c r="A115" s="17">
        <v>8.8999999999999844</v>
      </c>
      <c r="B115" s="17"/>
      <c r="C115" s="17">
        <f t="shared" si="3"/>
        <v>2.3581624971733173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</row>
    <row r="116" spans="1:37" x14ac:dyDescent="0.25">
      <c r="A116" s="17">
        <v>8.999999999999984</v>
      </c>
      <c r="B116" s="17"/>
      <c r="C116" s="17">
        <f t="shared" si="3"/>
        <v>2.3528067152984589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</row>
    <row r="117" spans="1:37" x14ac:dyDescent="0.25">
      <c r="A117" s="17">
        <v>9.0999999999999837</v>
      </c>
      <c r="B117" s="17"/>
      <c r="C117" s="17">
        <f t="shared" si="3"/>
        <v>2.3475009993423668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</row>
    <row r="118" spans="1:37" x14ac:dyDescent="0.25">
      <c r="A118" s="17">
        <v>9.1999999999999833</v>
      </c>
      <c r="B118" s="17"/>
      <c r="C118" s="17">
        <f t="shared" si="3"/>
        <v>2.3422443387525087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</row>
    <row r="119" spans="1:37" x14ac:dyDescent="0.25">
      <c r="A119" s="17">
        <v>9.2999999999999829</v>
      </c>
      <c r="B119" s="17"/>
      <c r="C119" s="17">
        <f t="shared" si="3"/>
        <v>2.3370357540878337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</row>
    <row r="120" spans="1:37" x14ac:dyDescent="0.25">
      <c r="A120" s="17">
        <v>9.3999999999999826</v>
      </c>
      <c r="B120" s="17"/>
      <c r="C120" s="17">
        <f t="shared" si="3"/>
        <v>2.3318742957381571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</row>
    <row r="121" spans="1:37" x14ac:dyDescent="0.25">
      <c r="A121" s="17">
        <v>9.4999999999999822</v>
      </c>
      <c r="B121" s="17"/>
      <c r="C121" s="17">
        <f t="shared" si="3"/>
        <v>2.326759042709269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</row>
    <row r="122" spans="1:37" x14ac:dyDescent="0.25">
      <c r="A122" s="17">
        <v>9.5999999999999819</v>
      </c>
      <c r="B122" s="17"/>
      <c r="C122" s="17">
        <f t="shared" si="3"/>
        <v>2.3216891014697358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</row>
    <row r="123" spans="1:37" x14ac:dyDescent="0.25">
      <c r="A123" s="17">
        <v>9.6999999999999815</v>
      </c>
      <c r="B123" s="17"/>
      <c r="C123" s="17">
        <f t="shared" si="3"/>
        <v>2.3166636048556479</v>
      </c>
      <c r="D123" s="6"/>
      <c r="E123" s="6"/>
      <c r="F123" s="6"/>
      <c r="G123" s="6"/>
      <c r="H123" s="6"/>
      <c r="I123" s="6"/>
      <c r="J123" s="6"/>
      <c r="K123" s="6"/>
      <c r="L123" s="6"/>
      <c r="M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</row>
    <row r="124" spans="1:37" x14ac:dyDescent="0.25">
      <c r="A124" s="17">
        <v>9.7999999999999812</v>
      </c>
      <c r="B124" s="17"/>
      <c r="C124" s="17">
        <f t="shared" si="3"/>
        <v>2.311681711029848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</row>
    <row r="125" spans="1:37" x14ac:dyDescent="0.25">
      <c r="A125" s="17">
        <v>9.8999999999999808</v>
      </c>
      <c r="B125" s="17"/>
      <c r="C125" s="17">
        <f t="shared" si="3"/>
        <v>2.3067426024923976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</row>
    <row r="126" spans="1:37" x14ac:dyDescent="0.25">
      <c r="A126" s="17">
        <v>9.9999999999999805</v>
      </c>
      <c r="B126" s="17"/>
      <c r="C126" s="17">
        <f t="shared" si="3"/>
        <v>2.3018454851392698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</row>
  </sheetData>
  <mergeCells count="1">
    <mergeCell ref="F12:L1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80" zoomScaleNormal="80" workbookViewId="0">
      <selection sqref="A1:F22"/>
    </sheetView>
  </sheetViews>
  <sheetFormatPr defaultRowHeight="15" x14ac:dyDescent="0.25"/>
  <cols>
    <col min="1" max="1" width="9.140625" style="8"/>
    <col min="2" max="2" width="10.5703125" style="8" bestFit="1" customWidth="1"/>
    <col min="3" max="3" width="11.28515625" style="8" bestFit="1" customWidth="1"/>
    <col min="4" max="4" width="13.7109375" style="8" bestFit="1" customWidth="1"/>
    <col min="5" max="6" width="9.140625" style="8"/>
    <col min="7" max="16384" width="9.140625" style="9"/>
  </cols>
  <sheetData>
    <row r="1" spans="1:11" x14ac:dyDescent="0.25">
      <c r="A1" s="8" t="s">
        <v>4</v>
      </c>
      <c r="B1" s="8" t="s">
        <v>5</v>
      </c>
      <c r="C1" s="8" t="s">
        <v>38</v>
      </c>
      <c r="D1" s="8" t="s">
        <v>39</v>
      </c>
      <c r="E1" s="8" t="s">
        <v>6</v>
      </c>
      <c r="F1" s="8" t="s">
        <v>3</v>
      </c>
    </row>
    <row r="2" spans="1:11" x14ac:dyDescent="0.25">
      <c r="A2" s="8">
        <v>13126</v>
      </c>
      <c r="B2" s="8" t="s">
        <v>0</v>
      </c>
      <c r="C2" s="8" t="s">
        <v>40</v>
      </c>
      <c r="D2" s="8" t="s">
        <v>41</v>
      </c>
      <c r="E2" s="8">
        <v>0</v>
      </c>
      <c r="F2" s="11">
        <f>LOG10(2.57*10^5)</f>
        <v>5.4099331233312942</v>
      </c>
      <c r="H2" s="13"/>
      <c r="I2" s="8"/>
      <c r="J2" s="8"/>
      <c r="K2" s="8"/>
    </row>
    <row r="3" spans="1:11" x14ac:dyDescent="0.25">
      <c r="A3" s="8">
        <v>13126</v>
      </c>
      <c r="B3" s="8" t="s">
        <v>0</v>
      </c>
      <c r="C3" s="8" t="s">
        <v>40</v>
      </c>
      <c r="D3" s="8" t="s">
        <v>41</v>
      </c>
      <c r="E3" s="8">
        <v>1</v>
      </c>
      <c r="F3" s="11">
        <f>LOG10(4*10^3)</f>
        <v>3.6020599913279625</v>
      </c>
      <c r="H3" s="13"/>
      <c r="I3" s="8"/>
      <c r="J3" s="8"/>
      <c r="K3" s="8"/>
    </row>
    <row r="4" spans="1:11" x14ac:dyDescent="0.25">
      <c r="A4" s="8">
        <v>13126</v>
      </c>
      <c r="B4" s="8" t="s">
        <v>0</v>
      </c>
      <c r="C4" s="8" t="s">
        <v>40</v>
      </c>
      <c r="D4" s="8" t="s">
        <v>41</v>
      </c>
      <c r="E4" s="8">
        <v>2</v>
      </c>
      <c r="F4" s="11">
        <f>LOG10(3*10^3)</f>
        <v>3.4771212547196626</v>
      </c>
      <c r="H4" s="13"/>
      <c r="I4" s="8"/>
      <c r="J4" s="8"/>
      <c r="K4" s="8"/>
    </row>
    <row r="5" spans="1:11" x14ac:dyDescent="0.25">
      <c r="A5" s="8">
        <v>13126</v>
      </c>
      <c r="B5" s="8" t="s">
        <v>0</v>
      </c>
      <c r="C5" s="8" t="s">
        <v>40</v>
      </c>
      <c r="D5" s="8" t="s">
        <v>41</v>
      </c>
      <c r="E5" s="8">
        <v>4</v>
      </c>
      <c r="F5" s="11">
        <f>LOG10(1.9*10^3)</f>
        <v>3.2787536009528289</v>
      </c>
      <c r="H5" s="14"/>
    </row>
    <row r="6" spans="1:11" x14ac:dyDescent="0.25">
      <c r="A6" s="8">
        <v>13126</v>
      </c>
      <c r="B6" s="8" t="s">
        <v>0</v>
      </c>
      <c r="C6" s="8" t="s">
        <v>40</v>
      </c>
      <c r="D6" s="8" t="s">
        <v>41</v>
      </c>
      <c r="E6" s="8">
        <v>6</v>
      </c>
      <c r="F6" s="11">
        <f>LOG10(1.27*10^4)</f>
        <v>4.1038037209559572</v>
      </c>
      <c r="H6" s="14"/>
    </row>
    <row r="7" spans="1:11" x14ac:dyDescent="0.25">
      <c r="A7" s="8">
        <v>13126</v>
      </c>
      <c r="B7" s="8" t="s">
        <v>0</v>
      </c>
      <c r="C7" s="8" t="s">
        <v>40</v>
      </c>
      <c r="D7" s="8" t="s">
        <v>41</v>
      </c>
      <c r="E7" s="8">
        <v>8</v>
      </c>
      <c r="F7" s="11">
        <f>LOG10(2.15*10^2)</f>
        <v>2.3324384599156054</v>
      </c>
      <c r="H7" s="14"/>
    </row>
    <row r="8" spans="1:11" x14ac:dyDescent="0.25">
      <c r="A8" s="8">
        <v>13126</v>
      </c>
      <c r="B8" s="8" t="s">
        <v>0</v>
      </c>
      <c r="C8" s="8" t="s">
        <v>40</v>
      </c>
      <c r="D8" s="8" t="s">
        <v>41</v>
      </c>
      <c r="E8" s="8">
        <v>10</v>
      </c>
      <c r="F8" s="11">
        <f>LOG10(6.85*10^2)</f>
        <v>2.8356905714924254</v>
      </c>
      <c r="H8" s="14"/>
    </row>
    <row r="9" spans="1:11" x14ac:dyDescent="0.25">
      <c r="A9" s="8">
        <v>13126</v>
      </c>
      <c r="B9" s="8" t="s">
        <v>1</v>
      </c>
      <c r="C9" s="8" t="s">
        <v>40</v>
      </c>
      <c r="D9" s="8" t="s">
        <v>41</v>
      </c>
      <c r="E9" s="8">
        <v>0</v>
      </c>
      <c r="F9" s="11">
        <f>LOG10(6*10^5)</f>
        <v>5.7781512503836439</v>
      </c>
      <c r="H9" s="14"/>
    </row>
    <row r="10" spans="1:11" x14ac:dyDescent="0.25">
      <c r="A10" s="8">
        <v>13126</v>
      </c>
      <c r="B10" s="8" t="s">
        <v>1</v>
      </c>
      <c r="C10" s="8" t="s">
        <v>40</v>
      </c>
      <c r="D10" s="8" t="s">
        <v>41</v>
      </c>
      <c r="E10" s="8">
        <v>1</v>
      </c>
      <c r="F10" s="11">
        <f>LOG10(2.3*10^2)</f>
        <v>2.3617278360175926</v>
      </c>
      <c r="H10" s="14"/>
    </row>
    <row r="11" spans="1:11" x14ac:dyDescent="0.25">
      <c r="A11" s="8">
        <v>13126</v>
      </c>
      <c r="B11" s="8" t="s">
        <v>1</v>
      </c>
      <c r="C11" s="8" t="s">
        <v>40</v>
      </c>
      <c r="D11" s="8" t="s">
        <v>41</v>
      </c>
      <c r="E11" s="8">
        <v>2</v>
      </c>
      <c r="F11" s="11">
        <f>LOG10(6*10^2)</f>
        <v>2.7781512503836434</v>
      </c>
      <c r="H11" s="14"/>
    </row>
    <row r="12" spans="1:11" x14ac:dyDescent="0.25">
      <c r="A12" s="8">
        <v>13126</v>
      </c>
      <c r="B12" s="8" t="s">
        <v>1</v>
      </c>
      <c r="C12" s="8" t="s">
        <v>40</v>
      </c>
      <c r="D12" s="8" t="s">
        <v>41</v>
      </c>
      <c r="E12" s="8">
        <v>4</v>
      </c>
      <c r="F12" s="11">
        <f>LOG10(3*10^2)</f>
        <v>2.4771212547196626</v>
      </c>
      <c r="H12" s="14"/>
    </row>
    <row r="13" spans="1:11" x14ac:dyDescent="0.25">
      <c r="A13" s="8">
        <v>13126</v>
      </c>
      <c r="B13" s="8" t="s">
        <v>1</v>
      </c>
      <c r="C13" s="8" t="s">
        <v>40</v>
      </c>
      <c r="D13" s="8" t="s">
        <v>41</v>
      </c>
      <c r="E13" s="8">
        <v>6</v>
      </c>
      <c r="F13" s="11">
        <f>LOG10(0.3*10^2)</f>
        <v>1.4771212547196624</v>
      </c>
    </row>
    <row r="14" spans="1:11" x14ac:dyDescent="0.25">
      <c r="A14" s="8">
        <v>13126</v>
      </c>
      <c r="B14" s="8" t="s">
        <v>1</v>
      </c>
      <c r="C14" s="8" t="s">
        <v>40</v>
      </c>
      <c r="D14" s="8" t="s">
        <v>41</v>
      </c>
      <c r="E14" s="8">
        <v>8</v>
      </c>
      <c r="F14" s="11">
        <f>LOG10(1*10^2)</f>
        <v>2</v>
      </c>
    </row>
    <row r="15" spans="1:11" x14ac:dyDescent="0.25">
      <c r="A15" s="8">
        <v>13126</v>
      </c>
      <c r="B15" s="8" t="s">
        <v>1</v>
      </c>
      <c r="C15" s="8" t="s">
        <v>40</v>
      </c>
      <c r="D15" s="8" t="s">
        <v>41</v>
      </c>
      <c r="E15" s="8">
        <v>10</v>
      </c>
      <c r="F15" s="11">
        <f>LOG10(0.35*10^2)</f>
        <v>1.5440680443502757</v>
      </c>
    </row>
    <row r="16" spans="1:11" x14ac:dyDescent="0.25">
      <c r="A16" s="8">
        <v>13126</v>
      </c>
      <c r="B16" s="8" t="s">
        <v>2</v>
      </c>
      <c r="C16" s="8" t="s">
        <v>40</v>
      </c>
      <c r="D16" s="8" t="s">
        <v>41</v>
      </c>
      <c r="E16" s="8">
        <v>0</v>
      </c>
      <c r="F16" s="11">
        <f>LOG10(1.53*10^5)</f>
        <v>5.1846914308175984</v>
      </c>
    </row>
    <row r="17" spans="1:6" x14ac:dyDescent="0.25">
      <c r="A17" s="8">
        <v>13126</v>
      </c>
      <c r="B17" s="8" t="s">
        <v>2</v>
      </c>
      <c r="C17" s="8" t="s">
        <v>40</v>
      </c>
      <c r="D17" s="8" t="s">
        <v>41</v>
      </c>
      <c r="E17" s="8">
        <v>1</v>
      </c>
      <c r="F17" s="11">
        <f>LOG10(1.97*10^3)</f>
        <v>3.2944662261615929</v>
      </c>
    </row>
    <row r="18" spans="1:6" x14ac:dyDescent="0.25">
      <c r="A18" s="8">
        <v>13126</v>
      </c>
      <c r="B18" s="8" t="s">
        <v>2</v>
      </c>
      <c r="C18" s="8" t="s">
        <v>40</v>
      </c>
      <c r="D18" s="8" t="s">
        <v>41</v>
      </c>
      <c r="E18" s="8">
        <v>2</v>
      </c>
      <c r="F18" s="11">
        <f>LOG10(9.7*10^2)</f>
        <v>2.9867717342662448</v>
      </c>
    </row>
    <row r="19" spans="1:6" x14ac:dyDescent="0.25">
      <c r="A19" s="8">
        <v>13126</v>
      </c>
      <c r="B19" s="8" t="s">
        <v>2</v>
      </c>
      <c r="C19" s="8" t="s">
        <v>40</v>
      </c>
      <c r="D19" s="8" t="s">
        <v>41</v>
      </c>
      <c r="E19" s="8">
        <v>4</v>
      </c>
      <c r="F19" s="11">
        <f>LOG10(3.3*10^2)</f>
        <v>2.5185139398778875</v>
      </c>
    </row>
    <row r="20" spans="1:6" x14ac:dyDescent="0.25">
      <c r="A20" s="8">
        <v>13126</v>
      </c>
      <c r="B20" s="8" t="s">
        <v>2</v>
      </c>
      <c r="C20" s="8" t="s">
        <v>40</v>
      </c>
      <c r="D20" s="8" t="s">
        <v>41</v>
      </c>
      <c r="E20" s="8">
        <v>6</v>
      </c>
      <c r="F20" s="11">
        <f>LOG10(1.33*10^3)</f>
        <v>3.1238516409670858</v>
      </c>
    </row>
    <row r="21" spans="1:6" x14ac:dyDescent="0.25">
      <c r="A21" s="8">
        <v>13126</v>
      </c>
      <c r="B21" s="8" t="s">
        <v>2</v>
      </c>
      <c r="C21" s="8" t="s">
        <v>40</v>
      </c>
      <c r="D21" s="8" t="s">
        <v>41</v>
      </c>
      <c r="E21" s="8">
        <v>8</v>
      </c>
      <c r="F21" s="11">
        <f>LOG10(1.65*10^2)</f>
        <v>2.2174839442139063</v>
      </c>
    </row>
    <row r="22" spans="1:6" x14ac:dyDescent="0.25">
      <c r="A22" s="8">
        <v>13126</v>
      </c>
      <c r="B22" s="8" t="s">
        <v>2</v>
      </c>
      <c r="C22" s="8" t="s">
        <v>40</v>
      </c>
      <c r="D22" s="8" t="s">
        <v>41</v>
      </c>
      <c r="E22" s="8">
        <v>10</v>
      </c>
      <c r="F22" s="11">
        <f>LOG10(1.65*10^2)</f>
        <v>2.2174839442139063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6"/>
  <sheetViews>
    <sheetView zoomScale="90" zoomScaleNormal="90" workbookViewId="0"/>
  </sheetViews>
  <sheetFormatPr defaultRowHeight="15" x14ac:dyDescent="0.25"/>
  <cols>
    <col min="1" max="1" width="9.140625" style="8"/>
    <col min="2" max="3" width="9.85546875" style="8" customWidth="1"/>
    <col min="4" max="4" width="9.140625" style="8"/>
    <col min="5" max="5" width="9.140625" style="9"/>
    <col min="6" max="6" width="13.28515625" style="9" bestFit="1" customWidth="1"/>
    <col min="7" max="16384" width="9.140625" style="9"/>
  </cols>
  <sheetData>
    <row r="1" spans="1:37" ht="24" customHeight="1" x14ac:dyDescent="0.25">
      <c r="A1" s="7" t="s">
        <v>6</v>
      </c>
      <c r="B1" s="5" t="s">
        <v>7</v>
      </c>
      <c r="C1" s="5" t="s">
        <v>8</v>
      </c>
      <c r="D1" s="7" t="s">
        <v>9</v>
      </c>
      <c r="E1" s="10"/>
      <c r="F1" s="2" t="s">
        <v>11</v>
      </c>
      <c r="G1" s="2" t="s">
        <v>12</v>
      </c>
      <c r="H1" s="2" t="s">
        <v>19</v>
      </c>
      <c r="I1" s="10"/>
      <c r="K1" s="10"/>
      <c r="L1" s="10"/>
      <c r="M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37" x14ac:dyDescent="0.25">
      <c r="A2" s="6">
        <v>0</v>
      </c>
      <c r="B2" s="6">
        <v>4.9684829485539348</v>
      </c>
      <c r="C2" s="6">
        <f t="shared" ref="C2:C22" si="0" xml:space="preserve"> LOG((10^$G$5 - 10^$G$4) * EXP(-$G$3 *A2 )  + 10^$G$4)</f>
        <v>5.536123838128197</v>
      </c>
      <c r="D2" s="6">
        <f t="shared" ref="D2:D22" si="1" xml:space="preserve"> (B2 - C2)^2</f>
        <v>0.32221617951665971</v>
      </c>
      <c r="E2" s="10"/>
      <c r="F2" s="10"/>
      <c r="G2" s="10"/>
      <c r="H2" s="10"/>
      <c r="I2" s="10"/>
      <c r="J2" s="10"/>
      <c r="K2" s="10"/>
      <c r="L2" s="4" t="s">
        <v>20</v>
      </c>
      <c r="M2" s="18">
        <v>0.58477886595454887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x14ac:dyDescent="0.25">
      <c r="A3" s="6">
        <v>1</v>
      </c>
      <c r="B3" s="6">
        <v>2.7558748556724915</v>
      </c>
      <c r="C3" s="6">
        <f t="shared" si="0"/>
        <v>3.1327953426931643</v>
      </c>
      <c r="D3" s="6">
        <f t="shared" si="1"/>
        <v>0.14206905353590119</v>
      </c>
      <c r="E3" s="10"/>
      <c r="F3" s="10" t="s">
        <v>13</v>
      </c>
      <c r="G3" s="18">
        <v>6.3376712046330237</v>
      </c>
      <c r="H3" s="18">
        <v>2.5579586019674299</v>
      </c>
      <c r="I3" s="10"/>
      <c r="J3" s="10"/>
      <c r="K3" s="10"/>
      <c r="L3" s="4" t="s">
        <v>23</v>
      </c>
      <c r="M3" s="18">
        <f>SQRT(M2)</f>
        <v>0.7647083535273751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x14ac:dyDescent="0.25">
      <c r="A4" s="6">
        <v>2</v>
      </c>
      <c r="B4" s="6">
        <v>3.012837224705172</v>
      </c>
      <c r="C4" s="6">
        <f t="shared" si="0"/>
        <v>2.8764187081878267</v>
      </c>
      <c r="D4" s="6">
        <f t="shared" si="1"/>
        <v>1.8610011648793202E-2</v>
      </c>
      <c r="E4" s="10"/>
      <c r="F4" s="10" t="s">
        <v>24</v>
      </c>
      <c r="G4" s="18">
        <v>2.8757992422792698</v>
      </c>
      <c r="H4" s="18">
        <v>0.19764312412052346</v>
      </c>
      <c r="I4" s="10"/>
      <c r="J4" s="10"/>
      <c r="K4" s="10"/>
      <c r="L4" s="4" t="s">
        <v>21</v>
      </c>
      <c r="M4" s="18">
        <v>0.62827604114960112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 x14ac:dyDescent="0.25">
      <c r="A5" s="6">
        <v>4</v>
      </c>
      <c r="B5" s="6">
        <v>2.568201724066995</v>
      </c>
      <c r="C5" s="6">
        <f t="shared" si="0"/>
        <v>2.8757992442179043</v>
      </c>
      <c r="D5" s="6">
        <f t="shared" si="1"/>
        <v>9.461623440298908E-2</v>
      </c>
      <c r="E5" s="10"/>
      <c r="F5" s="10" t="s">
        <v>14</v>
      </c>
      <c r="G5" s="18">
        <v>5.5361238381281961</v>
      </c>
      <c r="H5" s="18">
        <v>0.44150421269549228</v>
      </c>
      <c r="I5" s="10"/>
      <c r="J5" s="10"/>
      <c r="K5" s="10"/>
      <c r="L5" s="4" t="s">
        <v>22</v>
      </c>
      <c r="M5" s="18">
        <v>0.58697337905511238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pans="1:37" x14ac:dyDescent="0.25">
      <c r="A6" s="6">
        <v>6</v>
      </c>
      <c r="B6" s="6">
        <v>3.568201724066995</v>
      </c>
      <c r="C6" s="6">
        <f t="shared" si="0"/>
        <v>2.875799242279276</v>
      </c>
      <c r="D6" s="6">
        <f t="shared" si="1"/>
        <v>0.47942119678579254</v>
      </c>
      <c r="E6" s="10"/>
      <c r="F6" s="10"/>
      <c r="G6" s="10"/>
      <c r="H6" s="10"/>
      <c r="I6" s="10"/>
      <c r="J6" s="10"/>
      <c r="K6" s="10"/>
      <c r="L6" s="10"/>
      <c r="M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x14ac:dyDescent="0.25">
      <c r="A7" s="6">
        <v>8</v>
      </c>
      <c r="B7" s="6">
        <v>3.2174839442139063</v>
      </c>
      <c r="C7" s="6">
        <f t="shared" si="0"/>
        <v>2.8757992422792698</v>
      </c>
      <c r="D7" s="6">
        <f t="shared" si="1"/>
        <v>0.1167484355361614</v>
      </c>
      <c r="E7" s="10"/>
      <c r="F7" s="2" t="s">
        <v>25</v>
      </c>
      <c r="G7" s="10"/>
      <c r="H7" s="10"/>
      <c r="I7" s="10"/>
      <c r="J7" s="10"/>
      <c r="K7" s="10"/>
      <c r="L7" s="10"/>
      <c r="M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1:37" x14ac:dyDescent="0.25">
      <c r="A8" s="6">
        <v>10</v>
      </c>
      <c r="B8" s="6">
        <v>1.1760912590556813</v>
      </c>
      <c r="C8" s="6">
        <f t="shared" si="0"/>
        <v>2.8757992422792698</v>
      </c>
      <c r="D8" s="6">
        <f t="shared" si="1"/>
        <v>2.8890072282339982</v>
      </c>
      <c r="E8" s="10"/>
      <c r="F8" s="10" t="s">
        <v>29</v>
      </c>
      <c r="G8" s="10"/>
      <c r="H8" s="10"/>
      <c r="I8" s="10"/>
      <c r="J8" s="10"/>
      <c r="K8" s="10"/>
      <c r="L8" s="10"/>
      <c r="M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1:37" x14ac:dyDescent="0.25">
      <c r="A9" s="6">
        <v>0</v>
      </c>
      <c r="B9" s="6">
        <v>5.8864907251724823</v>
      </c>
      <c r="C9" s="6">
        <f t="shared" si="0"/>
        <v>5.536123838128197</v>
      </c>
      <c r="D9" s="6">
        <f t="shared" si="1"/>
        <v>0.12275695553710299</v>
      </c>
      <c r="E9" s="10"/>
      <c r="F9" s="2" t="s">
        <v>28</v>
      </c>
      <c r="G9" s="10"/>
      <c r="H9" s="10"/>
      <c r="I9" s="10"/>
      <c r="J9" s="10"/>
      <c r="K9" s="10"/>
      <c r="L9" s="10"/>
      <c r="M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1:37" x14ac:dyDescent="0.25">
      <c r="A10" s="6">
        <v>1</v>
      </c>
      <c r="B10" s="6">
        <v>2.6020599913279625</v>
      </c>
      <c r="C10" s="6">
        <f t="shared" si="0"/>
        <v>3.1327953426931643</v>
      </c>
      <c r="D10" s="6">
        <f t="shared" si="1"/>
        <v>0.28168001318874419</v>
      </c>
      <c r="E10" s="10"/>
      <c r="F10" s="10" t="s">
        <v>30</v>
      </c>
      <c r="G10" s="10"/>
      <c r="H10" s="10"/>
      <c r="I10" s="10"/>
      <c r="J10" s="10"/>
      <c r="K10" s="10"/>
      <c r="L10" s="10"/>
      <c r="M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spans="1:37" x14ac:dyDescent="0.25">
      <c r="A11" s="6">
        <v>2</v>
      </c>
      <c r="B11" s="6">
        <v>3.4313637641589874</v>
      </c>
      <c r="C11" s="6">
        <f t="shared" si="0"/>
        <v>2.8764187081878267</v>
      </c>
      <c r="D11" s="6">
        <f t="shared" si="1"/>
        <v>0.30796401514683458</v>
      </c>
      <c r="E11" s="10"/>
      <c r="F11" s="2" t="s">
        <v>26</v>
      </c>
      <c r="G11" s="10"/>
      <c r="H11" s="10"/>
      <c r="I11" s="10"/>
      <c r="J11" s="10"/>
      <c r="K11" s="10"/>
      <c r="L11" s="10"/>
      <c r="M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x14ac:dyDescent="0.25">
      <c r="A12" s="6">
        <v>4</v>
      </c>
      <c r="B12" s="6">
        <v>3.3010299956639813</v>
      </c>
      <c r="C12" s="6">
        <f t="shared" si="0"/>
        <v>2.8757992442179043</v>
      </c>
      <c r="D12" s="6">
        <f t="shared" si="1"/>
        <v>0.18082119197539526</v>
      </c>
      <c r="E12" s="10"/>
      <c r="F12" s="26" t="s">
        <v>27</v>
      </c>
      <c r="G12" s="27"/>
      <c r="H12" s="27"/>
      <c r="I12" s="27"/>
      <c r="J12" s="27"/>
      <c r="K12" s="27"/>
      <c r="L12" s="27"/>
      <c r="M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x14ac:dyDescent="0.25">
      <c r="A13" s="6">
        <v>6</v>
      </c>
      <c r="B13" s="6">
        <v>2.5185139398778875</v>
      </c>
      <c r="C13" s="6">
        <f t="shared" si="0"/>
        <v>2.875799242279276</v>
      </c>
      <c r="D13" s="6">
        <f t="shared" si="1"/>
        <v>0.1276527873120516</v>
      </c>
      <c r="E13" s="10"/>
      <c r="F13" s="27"/>
      <c r="G13" s="27"/>
      <c r="H13" s="27"/>
      <c r="I13" s="27"/>
      <c r="J13" s="27"/>
      <c r="K13" s="27"/>
      <c r="L13" s="27"/>
      <c r="M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37" x14ac:dyDescent="0.25">
      <c r="A14" s="6">
        <v>8</v>
      </c>
      <c r="B14" s="6">
        <v>2.3710678622717363</v>
      </c>
      <c r="C14" s="6">
        <f t="shared" si="0"/>
        <v>2.8757992422792698</v>
      </c>
      <c r="D14" s="6">
        <f t="shared" si="1"/>
        <v>0.25475376596430915</v>
      </c>
      <c r="E14" s="10"/>
      <c r="F14" s="27"/>
      <c r="G14" s="27"/>
      <c r="H14" s="27"/>
      <c r="I14" s="27"/>
      <c r="J14" s="27"/>
      <c r="K14" s="27"/>
      <c r="L14" s="27"/>
      <c r="M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x14ac:dyDescent="0.25">
      <c r="A15" s="6">
        <v>10</v>
      </c>
      <c r="B15" s="6">
        <v>1.5440680443502757</v>
      </c>
      <c r="C15" s="6">
        <f t="shared" si="0"/>
        <v>2.8757992422792698</v>
      </c>
      <c r="D15" s="6">
        <f t="shared" si="1"/>
        <v>1.7735079835373937</v>
      </c>
      <c r="E15" s="10"/>
      <c r="F15" s="10"/>
      <c r="G15" s="10"/>
      <c r="H15" s="10"/>
      <c r="I15" s="10"/>
      <c r="J15" s="10"/>
      <c r="K15" s="10"/>
      <c r="L15" s="10"/>
      <c r="M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x14ac:dyDescent="0.25">
      <c r="A16" s="6">
        <v>0</v>
      </c>
      <c r="B16" s="6">
        <v>5.7558748556724915</v>
      </c>
      <c r="C16" s="6">
        <f t="shared" si="0"/>
        <v>5.536123838128197</v>
      </c>
      <c r="D16" s="6">
        <f t="shared" si="1"/>
        <v>4.8290509711752826E-2</v>
      </c>
      <c r="E16" s="10"/>
      <c r="F16" s="10"/>
      <c r="G16" s="10"/>
      <c r="H16" s="10"/>
      <c r="I16" s="10"/>
      <c r="J16" s="10"/>
      <c r="K16" s="10"/>
      <c r="L16" s="10"/>
      <c r="M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x14ac:dyDescent="0.25">
      <c r="A17" s="6">
        <v>1</v>
      </c>
      <c r="B17" s="6">
        <v>4.0293837776852097</v>
      </c>
      <c r="C17" s="6">
        <f t="shared" si="0"/>
        <v>3.1327953426931643</v>
      </c>
      <c r="D17" s="6">
        <f t="shared" si="1"/>
        <v>0.80387082176148528</v>
      </c>
      <c r="E17" s="10"/>
      <c r="F17" s="10"/>
      <c r="G17" s="10"/>
      <c r="H17" s="10"/>
      <c r="I17" s="10"/>
      <c r="J17" s="10"/>
      <c r="K17" s="10"/>
      <c r="L17" s="10"/>
      <c r="M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</row>
    <row r="18" spans="1:37" x14ac:dyDescent="0.25">
      <c r="A18" s="6">
        <v>2</v>
      </c>
      <c r="B18" s="6">
        <v>3.9190780923760737</v>
      </c>
      <c r="C18" s="6">
        <f t="shared" si="0"/>
        <v>2.8764187081878267</v>
      </c>
      <c r="D18" s="6">
        <f t="shared" si="1"/>
        <v>1.0871385914358145</v>
      </c>
      <c r="E18" s="10"/>
      <c r="F18" s="10"/>
      <c r="G18" s="10"/>
      <c r="H18" s="10"/>
      <c r="I18" s="10"/>
      <c r="J18" s="10"/>
      <c r="K18" s="10"/>
      <c r="L18" s="10"/>
      <c r="M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x14ac:dyDescent="0.25">
      <c r="A19" s="6">
        <v>4</v>
      </c>
      <c r="B19" s="6">
        <v>2.6989700043360187</v>
      </c>
      <c r="C19" s="6">
        <f t="shared" si="0"/>
        <v>2.8757992442179043</v>
      </c>
      <c r="D19" s="6">
        <f t="shared" si="1"/>
        <v>3.1268580077205441E-2</v>
      </c>
      <c r="E19" s="10"/>
      <c r="F19" s="10"/>
      <c r="G19" s="10"/>
      <c r="H19" s="10"/>
      <c r="I19" s="10"/>
      <c r="J19" s="10"/>
      <c r="K19" s="10"/>
      <c r="L19" s="10"/>
      <c r="M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1:37" x14ac:dyDescent="0.25">
      <c r="A20" s="6">
        <v>6</v>
      </c>
      <c r="B20" s="6">
        <v>3.4771212547196626</v>
      </c>
      <c r="C20" s="6">
        <f t="shared" si="0"/>
        <v>2.875799242279276</v>
      </c>
      <c r="D20" s="6">
        <f t="shared" si="1"/>
        <v>0.36158816264535648</v>
      </c>
      <c r="E20" s="10"/>
      <c r="F20" s="10"/>
      <c r="G20" s="10"/>
      <c r="H20" s="10"/>
      <c r="I20" s="10"/>
      <c r="J20" s="10"/>
      <c r="K20" s="10"/>
      <c r="L20" s="10"/>
      <c r="M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</row>
    <row r="21" spans="1:37" x14ac:dyDescent="0.25">
      <c r="A21" s="6">
        <v>8</v>
      </c>
      <c r="B21" s="6">
        <v>3.8450980400142569</v>
      </c>
      <c r="C21" s="6">
        <f t="shared" si="0"/>
        <v>2.8757992422792698</v>
      </c>
      <c r="D21" s="6">
        <f t="shared" si="1"/>
        <v>0.93954015929049162</v>
      </c>
      <c r="E21" s="10"/>
      <c r="F21" s="10"/>
      <c r="G21" s="10"/>
      <c r="H21" s="10"/>
      <c r="I21" s="10"/>
      <c r="J21" s="10"/>
      <c r="K21" s="10"/>
      <c r="L21" s="10"/>
      <c r="M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</row>
    <row r="22" spans="1:37" x14ac:dyDescent="0.25">
      <c r="A22" s="6">
        <v>10</v>
      </c>
      <c r="B22" s="6">
        <v>2.4983105537896004</v>
      </c>
      <c r="C22" s="6">
        <f t="shared" si="0"/>
        <v>2.8757992422792698</v>
      </c>
      <c r="D22" s="6">
        <f t="shared" si="1"/>
        <v>0.1424977099376506</v>
      </c>
      <c r="E22" s="10"/>
      <c r="F22" s="10"/>
      <c r="G22" s="10"/>
      <c r="H22" s="10"/>
      <c r="I22" s="10"/>
      <c r="J22" s="10"/>
      <c r="K22" s="10"/>
      <c r="L22" s="10"/>
      <c r="M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x14ac:dyDescent="0.25">
      <c r="A23" s="7" t="s">
        <v>10</v>
      </c>
      <c r="B23" s="6"/>
      <c r="C23" s="6"/>
      <c r="D23" s="6">
        <f>SUM(D2:D22)</f>
        <v>10.52601958718188</v>
      </c>
      <c r="E23" s="10"/>
      <c r="F23" s="10"/>
      <c r="G23" s="10"/>
      <c r="H23" s="10"/>
      <c r="I23" s="10"/>
      <c r="J23" s="10"/>
      <c r="K23" s="10"/>
      <c r="L23" s="10"/>
      <c r="M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</row>
    <row r="24" spans="1:37" x14ac:dyDescent="0.25">
      <c r="A24" s="6"/>
      <c r="B24" s="6"/>
      <c r="C24" s="6"/>
      <c r="D24" s="6"/>
      <c r="E24" s="10"/>
      <c r="F24" s="10"/>
      <c r="G24" s="10"/>
      <c r="H24" s="10"/>
      <c r="I24" s="10"/>
      <c r="J24" s="10"/>
      <c r="K24" s="10"/>
      <c r="L24" s="10"/>
      <c r="M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</row>
    <row r="25" spans="1:37" x14ac:dyDescent="0.25">
      <c r="A25" s="6"/>
      <c r="B25" s="6"/>
      <c r="C25" s="6"/>
      <c r="D25" s="6"/>
      <c r="E25" s="10"/>
      <c r="F25" s="10"/>
      <c r="G25" s="10"/>
      <c r="H25" s="10"/>
      <c r="I25" s="10"/>
      <c r="J25" s="10"/>
      <c r="K25" s="10"/>
      <c r="L25" s="10"/>
      <c r="M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</row>
    <row r="26" spans="1:37" x14ac:dyDescent="0.25">
      <c r="A26" s="17">
        <v>0</v>
      </c>
      <c r="B26" s="17"/>
      <c r="C26" s="17">
        <f xml:space="preserve"> LOG((10^$G$5 - 10^$G$4) * EXP(-$G$3 *A26 )  + 10^$G$4)</f>
        <v>5.536123838128197</v>
      </c>
      <c r="D26" s="6"/>
      <c r="E26" s="10"/>
      <c r="F26" s="10"/>
      <c r="G26" s="10"/>
      <c r="H26" s="10"/>
      <c r="I26" s="10"/>
      <c r="J26" s="10"/>
      <c r="K26" s="10"/>
      <c r="L26" s="10"/>
      <c r="M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</row>
    <row r="27" spans="1:37" x14ac:dyDescent="0.25">
      <c r="A27" s="17">
        <v>0.1</v>
      </c>
      <c r="B27" s="17"/>
      <c r="C27" s="17">
        <f t="shared" ref="C27:C90" si="2" xml:space="preserve"> LOG((10^$G$5 - 10^$G$4) * EXP(-$G$3 *A27 )  + 10^$G$4)</f>
        <v>5.2617214154012926</v>
      </c>
      <c r="D27" s="6"/>
      <c r="E27" s="10"/>
      <c r="F27" s="10"/>
      <c r="G27" s="10"/>
      <c r="H27" s="10"/>
      <c r="I27" s="10"/>
      <c r="J27" s="10"/>
      <c r="K27" s="10"/>
      <c r="L27" s="10"/>
      <c r="M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</row>
    <row r="28" spans="1:37" x14ac:dyDescent="0.25">
      <c r="A28" s="17">
        <v>0.2</v>
      </c>
      <c r="B28" s="17"/>
      <c r="C28" s="17">
        <f t="shared" si="2"/>
        <v>4.9880569837936584</v>
      </c>
      <c r="D28" s="6"/>
      <c r="E28" s="10"/>
      <c r="F28" s="10"/>
      <c r="G28" s="10"/>
      <c r="H28" s="10"/>
      <c r="I28" s="10"/>
      <c r="J28" s="10"/>
      <c r="K28" s="10"/>
      <c r="L28" s="10"/>
      <c r="M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</row>
    <row r="29" spans="1:37" x14ac:dyDescent="0.25">
      <c r="A29" s="17">
        <v>0.30000000000000004</v>
      </c>
      <c r="B29" s="17"/>
      <c r="C29" s="17">
        <f t="shared" si="2"/>
        <v>4.715772356183578</v>
      </c>
      <c r="D29" s="6"/>
      <c r="E29" s="10"/>
      <c r="F29" s="10"/>
      <c r="G29" s="10"/>
      <c r="H29" s="10"/>
      <c r="I29" s="10"/>
      <c r="J29" s="10"/>
      <c r="K29" s="10"/>
      <c r="L29" s="10"/>
      <c r="M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</row>
    <row r="30" spans="1:37" x14ac:dyDescent="0.25">
      <c r="A30" s="17">
        <v>0.36649999999999999</v>
      </c>
      <c r="B30" s="17"/>
      <c r="C30" s="17">
        <f t="shared" si="2"/>
        <v>4.5360150239236479</v>
      </c>
      <c r="D30" s="6"/>
      <c r="E30" s="10"/>
      <c r="F30" s="10"/>
      <c r="G30" s="10"/>
      <c r="H30" s="10"/>
      <c r="I30" s="10"/>
      <c r="J30" s="10"/>
      <c r="K30" s="10"/>
      <c r="L30" s="10"/>
      <c r="M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</row>
    <row r="31" spans="1:37" x14ac:dyDescent="0.25">
      <c r="A31" s="17">
        <v>0.5</v>
      </c>
      <c r="B31" s="17"/>
      <c r="C31" s="17">
        <f t="shared" si="2"/>
        <v>4.1810223802635722</v>
      </c>
      <c r="D31" s="6"/>
      <c r="E31" s="10"/>
      <c r="F31" s="10"/>
      <c r="G31" s="10"/>
      <c r="H31" s="10"/>
      <c r="I31" s="10"/>
      <c r="J31" s="10"/>
      <c r="K31" s="10"/>
      <c r="L31" s="10"/>
      <c r="M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x14ac:dyDescent="0.25">
      <c r="A32" s="17">
        <v>0.6</v>
      </c>
      <c r="B32" s="17"/>
      <c r="C32" s="17">
        <f t="shared" si="2"/>
        <v>3.924402195299856</v>
      </c>
      <c r="D32" s="6"/>
      <c r="E32" s="10"/>
      <c r="F32" s="10"/>
      <c r="G32" s="10"/>
      <c r="H32" s="10"/>
      <c r="I32" s="10"/>
      <c r="J32" s="10"/>
      <c r="K32" s="10"/>
      <c r="L32" s="10"/>
      <c r="M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</row>
    <row r="33" spans="1:37" x14ac:dyDescent="0.25">
      <c r="A33" s="17">
        <v>0.7</v>
      </c>
      <c r="B33" s="17"/>
      <c r="C33" s="17">
        <f t="shared" si="2"/>
        <v>3.6822234365518391</v>
      </c>
      <c r="D33" s="6"/>
      <c r="E33" s="10"/>
      <c r="F33" s="10"/>
      <c r="G33" s="10"/>
      <c r="H33" s="10"/>
      <c r="I33" s="10"/>
      <c r="J33" s="10"/>
      <c r="K33" s="10"/>
      <c r="L33" s="10"/>
      <c r="M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</row>
    <row r="34" spans="1:37" x14ac:dyDescent="0.25">
      <c r="A34" s="17">
        <v>0.79999999999999993</v>
      </c>
      <c r="B34" s="17"/>
      <c r="C34" s="17">
        <f t="shared" si="2"/>
        <v>3.4631837457142254</v>
      </c>
      <c r="D34" s="6"/>
      <c r="E34" s="10"/>
      <c r="F34" s="10"/>
      <c r="G34" s="10"/>
      <c r="H34" s="10"/>
      <c r="I34" s="10"/>
      <c r="J34" s="10"/>
      <c r="K34" s="10"/>
      <c r="L34" s="10"/>
      <c r="M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</row>
    <row r="35" spans="1:37" x14ac:dyDescent="0.25">
      <c r="A35" s="17">
        <v>0.89999999999999991</v>
      </c>
      <c r="B35" s="17"/>
      <c r="C35" s="17">
        <f t="shared" si="2"/>
        <v>3.2774148357213453</v>
      </c>
      <c r="D35" s="6"/>
      <c r="E35" s="10"/>
      <c r="F35" s="10"/>
      <c r="G35" s="10"/>
      <c r="H35" s="10"/>
      <c r="I35" s="10"/>
      <c r="J35" s="10"/>
      <c r="K35" s="10"/>
      <c r="L35" s="10"/>
      <c r="M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</row>
    <row r="36" spans="1:37" x14ac:dyDescent="0.25">
      <c r="A36" s="17">
        <v>0.99999999999999989</v>
      </c>
      <c r="B36" s="17"/>
      <c r="C36" s="17">
        <f t="shared" si="2"/>
        <v>3.1327953426931643</v>
      </c>
      <c r="D36" s="6"/>
      <c r="E36" s="10"/>
      <c r="F36" s="10"/>
      <c r="G36" s="10"/>
      <c r="H36" s="10"/>
      <c r="I36" s="10"/>
      <c r="J36" s="10"/>
      <c r="K36" s="10"/>
      <c r="L36" s="10"/>
      <c r="M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</row>
    <row r="37" spans="1:37" x14ac:dyDescent="0.25">
      <c r="A37" s="17">
        <v>1.0999999999999999</v>
      </c>
      <c r="B37" s="17"/>
      <c r="C37" s="17">
        <f t="shared" si="2"/>
        <v>3.0306093419631792</v>
      </c>
      <c r="D37" s="6"/>
      <c r="E37" s="10"/>
      <c r="F37" s="10"/>
      <c r="G37" s="10"/>
      <c r="H37" s="10"/>
      <c r="I37" s="10"/>
      <c r="J37" s="10"/>
      <c r="K37" s="10"/>
      <c r="L37" s="10"/>
      <c r="M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x14ac:dyDescent="0.25">
      <c r="A38" s="17">
        <v>1.2</v>
      </c>
      <c r="B38" s="17"/>
      <c r="C38" s="17">
        <f t="shared" si="2"/>
        <v>2.9647270026940946</v>
      </c>
      <c r="D38" s="6"/>
      <c r="E38" s="10"/>
      <c r="F38" s="10"/>
      <c r="G38" s="10"/>
      <c r="H38" s="10"/>
      <c r="I38" s="10"/>
      <c r="J38" s="10"/>
      <c r="K38" s="10"/>
      <c r="L38" s="10"/>
      <c r="M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25">
      <c r="A39" s="17">
        <v>1.3</v>
      </c>
      <c r="B39" s="17"/>
      <c r="C39" s="17">
        <f t="shared" si="2"/>
        <v>2.9252376472748121</v>
      </c>
      <c r="D39" s="6"/>
      <c r="E39" s="10"/>
      <c r="F39" s="10"/>
      <c r="G39" s="10"/>
      <c r="H39" s="10"/>
      <c r="I39" s="10"/>
      <c r="J39" s="10"/>
      <c r="K39" s="10"/>
      <c r="L39" s="10"/>
      <c r="M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</row>
    <row r="40" spans="1:37" x14ac:dyDescent="0.25">
      <c r="A40" s="17">
        <v>1.4000000000000001</v>
      </c>
      <c r="B40" s="17"/>
      <c r="C40" s="17">
        <f t="shared" si="2"/>
        <v>2.9027295807685149</v>
      </c>
      <c r="D40" s="6"/>
      <c r="E40" s="10"/>
      <c r="F40" s="10"/>
      <c r="G40" s="10"/>
      <c r="H40" s="10"/>
      <c r="I40" s="10"/>
      <c r="J40" s="10"/>
      <c r="K40" s="10"/>
      <c r="L40" s="10"/>
      <c r="M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</row>
    <row r="41" spans="1:37" x14ac:dyDescent="0.25">
      <c r="A41" s="17">
        <v>1.5000000000000002</v>
      </c>
      <c r="B41" s="17"/>
      <c r="C41" s="17">
        <f t="shared" si="2"/>
        <v>2.8902958547150628</v>
      </c>
      <c r="D41" s="6"/>
      <c r="E41" s="10"/>
      <c r="F41" s="10"/>
      <c r="G41" s="10"/>
      <c r="H41" s="10"/>
      <c r="I41" s="10"/>
      <c r="J41" s="10"/>
      <c r="K41" s="10"/>
      <c r="L41" s="10"/>
      <c r="M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</row>
    <row r="42" spans="1:37" x14ac:dyDescent="0.25">
      <c r="A42" s="17">
        <v>1.6000000000000003</v>
      </c>
      <c r="B42" s="17"/>
      <c r="C42" s="17">
        <f t="shared" si="2"/>
        <v>2.883551205194955</v>
      </c>
      <c r="D42" s="6"/>
      <c r="E42" s="10"/>
      <c r="F42" s="10"/>
      <c r="G42" s="10"/>
      <c r="H42" s="10"/>
      <c r="I42" s="10"/>
      <c r="J42" s="10"/>
      <c r="K42" s="10"/>
      <c r="L42" s="10"/>
      <c r="M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x14ac:dyDescent="0.25">
      <c r="A43" s="17">
        <v>1.7000000000000004</v>
      </c>
      <c r="B43" s="17"/>
      <c r="C43" s="17">
        <f t="shared" si="2"/>
        <v>2.8799295752755469</v>
      </c>
      <c r="D43" s="6"/>
      <c r="E43" s="10"/>
      <c r="F43" s="10"/>
      <c r="G43" s="10"/>
      <c r="H43" s="10"/>
      <c r="I43" s="10"/>
      <c r="J43" s="10"/>
      <c r="K43" s="10"/>
      <c r="L43" s="10"/>
      <c r="M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</row>
    <row r="44" spans="1:37" x14ac:dyDescent="0.25">
      <c r="A44" s="17">
        <v>1.8000000000000005</v>
      </c>
      <c r="B44" s="17"/>
      <c r="C44" s="17">
        <f t="shared" si="2"/>
        <v>2.877995643333259</v>
      </c>
      <c r="D44" s="6"/>
      <c r="E44" s="10"/>
      <c r="F44" s="10"/>
      <c r="G44" s="10"/>
      <c r="H44" s="10"/>
      <c r="I44" s="10"/>
      <c r="J44" s="10"/>
      <c r="K44" s="10"/>
      <c r="L44" s="10"/>
      <c r="M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</row>
    <row r="45" spans="1:37" x14ac:dyDescent="0.25">
      <c r="A45" s="17">
        <v>1.9000000000000006</v>
      </c>
      <c r="B45" s="17"/>
      <c r="C45" s="17">
        <f t="shared" si="2"/>
        <v>2.8769660122093996</v>
      </c>
      <c r="D45" s="6"/>
      <c r="E45" s="10"/>
      <c r="F45" s="10"/>
      <c r="G45" s="10"/>
      <c r="H45" s="10"/>
      <c r="I45" s="10"/>
      <c r="J45" s="10"/>
      <c r="K45" s="10"/>
      <c r="L45" s="10"/>
      <c r="M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</row>
    <row r="46" spans="1:37" x14ac:dyDescent="0.25">
      <c r="A46" s="17">
        <v>2.0000000000000004</v>
      </c>
      <c r="B46" s="17"/>
      <c r="C46" s="17">
        <f t="shared" si="2"/>
        <v>2.8764187081878267</v>
      </c>
      <c r="D46" s="6"/>
      <c r="E46" s="10"/>
      <c r="F46" s="10"/>
      <c r="G46" s="10"/>
      <c r="H46" s="10"/>
      <c r="I46" s="10"/>
      <c r="J46" s="10"/>
      <c r="K46" s="10"/>
      <c r="L46" s="10"/>
      <c r="M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</row>
    <row r="47" spans="1:37" x14ac:dyDescent="0.25">
      <c r="A47" s="17">
        <v>2.1000000000000005</v>
      </c>
      <c r="B47" s="17"/>
      <c r="C47" s="17">
        <f t="shared" si="2"/>
        <v>2.8761280342556463</v>
      </c>
      <c r="D47" s="6"/>
      <c r="E47" s="10"/>
      <c r="F47" s="10"/>
      <c r="G47" s="10"/>
      <c r="H47" s="10"/>
      <c r="I47" s="10"/>
      <c r="J47" s="10"/>
      <c r="K47" s="10"/>
      <c r="L47" s="10"/>
      <c r="M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</row>
    <row r="48" spans="1:37" x14ac:dyDescent="0.25">
      <c r="A48" s="17">
        <v>2.2000000000000006</v>
      </c>
      <c r="B48" s="17"/>
      <c r="C48" s="17">
        <f t="shared" si="2"/>
        <v>2.8759737267613703</v>
      </c>
      <c r="D48" s="6"/>
      <c r="E48" s="10"/>
      <c r="F48" s="10"/>
      <c r="G48" s="10"/>
      <c r="H48" s="10"/>
      <c r="I48" s="10"/>
      <c r="J48" s="10"/>
      <c r="K48" s="10"/>
      <c r="L48" s="10"/>
      <c r="M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</row>
    <row r="49" spans="1:37" x14ac:dyDescent="0.25">
      <c r="A49" s="17">
        <v>2.3000000000000007</v>
      </c>
      <c r="B49" s="17"/>
      <c r="C49" s="17">
        <f t="shared" si="2"/>
        <v>2.8758918305975034</v>
      </c>
      <c r="D49" s="6"/>
      <c r="E49" s="10"/>
      <c r="F49" s="10"/>
      <c r="G49" s="10"/>
      <c r="H49" s="10"/>
      <c r="I49" s="10"/>
      <c r="J49" s="10"/>
      <c r="K49" s="10"/>
      <c r="L49" s="10"/>
      <c r="M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</row>
    <row r="50" spans="1:37" x14ac:dyDescent="0.25">
      <c r="A50" s="17">
        <v>2.4000000000000008</v>
      </c>
      <c r="B50" s="17"/>
      <c r="C50" s="17">
        <f t="shared" si="2"/>
        <v>2.8758483711026215</v>
      </c>
      <c r="D50" s="6"/>
      <c r="E50" s="10"/>
      <c r="F50" s="10"/>
      <c r="G50" s="10"/>
      <c r="H50" s="10"/>
      <c r="I50" s="10"/>
      <c r="J50" s="10"/>
      <c r="K50" s="10"/>
      <c r="L50" s="10"/>
      <c r="M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 x14ac:dyDescent="0.25">
      <c r="A51" s="17">
        <v>2.5000000000000009</v>
      </c>
      <c r="B51" s="17"/>
      <c r="C51" s="17">
        <f t="shared" si="2"/>
        <v>2.8758253101963085</v>
      </c>
      <c r="D51" s="6"/>
      <c r="E51" s="10"/>
      <c r="F51" s="10"/>
      <c r="G51" s="10"/>
      <c r="H51" s="10"/>
      <c r="I51" s="10"/>
      <c r="J51" s="10"/>
      <c r="K51" s="10"/>
      <c r="L51" s="10"/>
      <c r="M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25">
      <c r="A52" s="17">
        <v>2.600000000000001</v>
      </c>
      <c r="B52" s="17"/>
      <c r="C52" s="17">
        <f t="shared" si="2"/>
        <v>2.8758130738303578</v>
      </c>
      <c r="D52" s="6"/>
      <c r="E52" s="10"/>
      <c r="F52" s="10"/>
      <c r="G52" s="10"/>
      <c r="H52" s="10"/>
      <c r="I52" s="10"/>
      <c r="J52" s="10"/>
      <c r="K52" s="10"/>
      <c r="L52" s="10"/>
      <c r="M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</row>
    <row r="53" spans="1:37" x14ac:dyDescent="0.25">
      <c r="A53" s="17">
        <v>2.7000000000000011</v>
      </c>
      <c r="B53" s="17"/>
      <c r="C53" s="17">
        <f t="shared" si="2"/>
        <v>2.8758065812062776</v>
      </c>
      <c r="D53" s="6"/>
      <c r="E53" s="10"/>
      <c r="F53" s="10"/>
      <c r="G53" s="10"/>
      <c r="H53" s="10"/>
      <c r="I53" s="10"/>
      <c r="J53" s="10"/>
      <c r="K53" s="10"/>
      <c r="L53" s="10"/>
      <c r="M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</row>
    <row r="54" spans="1:37" x14ac:dyDescent="0.25">
      <c r="A54" s="17">
        <v>2.8000000000000012</v>
      </c>
      <c r="B54" s="17"/>
      <c r="C54" s="17">
        <f t="shared" si="2"/>
        <v>2.8758031362504015</v>
      </c>
      <c r="D54" s="6"/>
      <c r="E54" s="10"/>
      <c r="F54" s="10"/>
      <c r="G54" s="10"/>
      <c r="H54" s="10"/>
      <c r="I54" s="10"/>
      <c r="J54" s="10"/>
      <c r="K54" s="10"/>
      <c r="L54" s="10"/>
      <c r="M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1:37" x14ac:dyDescent="0.25">
      <c r="A55" s="17">
        <v>2.9000000000000012</v>
      </c>
      <c r="B55" s="17"/>
      <c r="C55" s="17">
        <f t="shared" si="2"/>
        <v>2.8758013083827931</v>
      </c>
      <c r="D55" s="6"/>
      <c r="E55" s="10"/>
      <c r="F55" s="10"/>
      <c r="G55" s="10"/>
      <c r="H55" s="10"/>
      <c r="I55" s="10"/>
      <c r="J55" s="10"/>
      <c r="K55" s="10"/>
      <c r="L55" s="10"/>
      <c r="M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x14ac:dyDescent="0.25">
      <c r="A56" s="17">
        <v>3.0000000000000013</v>
      </c>
      <c r="B56" s="17"/>
      <c r="C56" s="17">
        <f t="shared" si="2"/>
        <v>2.8758003385327875</v>
      </c>
      <c r="D56" s="6"/>
      <c r="E56" s="10"/>
      <c r="F56" s="10"/>
      <c r="G56" s="10"/>
      <c r="H56" s="10"/>
      <c r="I56" s="10"/>
      <c r="J56" s="10"/>
      <c r="K56" s="10"/>
      <c r="L56" s="10"/>
      <c r="M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</row>
    <row r="57" spans="1:37" x14ac:dyDescent="0.25">
      <c r="A57" s="17">
        <v>3.1000000000000014</v>
      </c>
      <c r="B57" s="17"/>
      <c r="C57" s="17">
        <f t="shared" si="2"/>
        <v>2.8757998239399329</v>
      </c>
      <c r="D57" s="6"/>
      <c r="E57" s="10"/>
      <c r="F57" s="10"/>
      <c r="G57" s="10"/>
      <c r="H57" s="10"/>
      <c r="I57" s="10"/>
      <c r="J57" s="10"/>
      <c r="K57" s="10"/>
      <c r="L57" s="10"/>
      <c r="M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</row>
    <row r="58" spans="1:37" x14ac:dyDescent="0.25">
      <c r="A58" s="17">
        <v>3.2000000000000015</v>
      </c>
      <c r="B58" s="17"/>
      <c r="C58" s="17">
        <f t="shared" si="2"/>
        <v>2.8757995509022547</v>
      </c>
      <c r="D58" s="6"/>
      <c r="E58" s="10"/>
      <c r="F58" s="10"/>
      <c r="G58" s="10"/>
      <c r="H58" s="10"/>
      <c r="I58" s="10"/>
      <c r="J58" s="10"/>
      <c r="K58" s="10"/>
      <c r="L58" s="10"/>
      <c r="M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</row>
    <row r="59" spans="1:37" x14ac:dyDescent="0.25">
      <c r="A59" s="17">
        <v>3.3000000000000016</v>
      </c>
      <c r="B59" s="17"/>
      <c r="C59" s="17">
        <f t="shared" si="2"/>
        <v>2.8757994060313314</v>
      </c>
      <c r="D59" s="6"/>
      <c r="E59" s="10"/>
      <c r="F59" s="10"/>
      <c r="G59" s="10"/>
      <c r="H59" s="10"/>
      <c r="I59" s="10"/>
      <c r="J59" s="10"/>
      <c r="K59" s="10"/>
      <c r="L59" s="10"/>
      <c r="M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</row>
    <row r="60" spans="1:37" x14ac:dyDescent="0.25">
      <c r="A60" s="17">
        <v>3.4000000000000017</v>
      </c>
      <c r="B60" s="17"/>
      <c r="C60" s="17">
        <f t="shared" si="2"/>
        <v>2.8757993291643591</v>
      </c>
      <c r="D60" s="6"/>
      <c r="E60" s="10"/>
      <c r="F60" s="10"/>
      <c r="G60" s="10"/>
      <c r="H60" s="10"/>
      <c r="I60" s="10"/>
      <c r="J60" s="10"/>
      <c r="K60" s="10"/>
      <c r="L60" s="10"/>
      <c r="M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</row>
    <row r="61" spans="1:37" x14ac:dyDescent="0.25">
      <c r="A61" s="17">
        <v>3.5000000000000018</v>
      </c>
      <c r="B61" s="17"/>
      <c r="C61" s="17">
        <f t="shared" si="2"/>
        <v>2.8757992883795653</v>
      </c>
      <c r="D61" s="6"/>
      <c r="E61" s="10"/>
      <c r="F61" s="10"/>
      <c r="G61" s="10"/>
      <c r="H61" s="10"/>
      <c r="I61" s="10"/>
      <c r="J61" s="10"/>
      <c r="K61" s="10"/>
      <c r="L61" s="10"/>
      <c r="M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</row>
    <row r="62" spans="1:37" x14ac:dyDescent="0.25">
      <c r="A62" s="17">
        <v>3.6000000000000019</v>
      </c>
      <c r="B62" s="17"/>
      <c r="C62" s="17">
        <f t="shared" si="2"/>
        <v>2.8757992667395911</v>
      </c>
      <c r="D62" s="6"/>
      <c r="E62" s="10"/>
      <c r="F62" s="10"/>
      <c r="G62" s="10"/>
      <c r="H62" s="10"/>
      <c r="I62" s="10"/>
      <c r="J62" s="10"/>
      <c r="K62" s="10"/>
      <c r="L62" s="10"/>
      <c r="M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x14ac:dyDescent="0.25">
      <c r="A63" s="17">
        <v>3.700000000000002</v>
      </c>
      <c r="B63" s="17"/>
      <c r="C63" s="17">
        <f t="shared" si="2"/>
        <v>2.8757992552576535</v>
      </c>
      <c r="D63" s="6"/>
      <c r="E63" s="10"/>
      <c r="F63" s="10"/>
      <c r="G63" s="10"/>
      <c r="H63" s="10"/>
      <c r="I63" s="10"/>
      <c r="J63" s="10"/>
      <c r="K63" s="10"/>
      <c r="L63" s="10"/>
      <c r="M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</row>
    <row r="64" spans="1:37" x14ac:dyDescent="0.25">
      <c r="A64" s="17">
        <v>3.800000000000002</v>
      </c>
      <c r="B64" s="17"/>
      <c r="C64" s="17">
        <f t="shared" si="2"/>
        <v>2.8757992491654605</v>
      </c>
      <c r="D64" s="6"/>
      <c r="E64" s="10"/>
      <c r="F64" s="10"/>
      <c r="G64" s="10"/>
      <c r="H64" s="10"/>
      <c r="I64" s="10"/>
      <c r="J64" s="10"/>
      <c r="K64" s="10"/>
      <c r="L64" s="10"/>
      <c r="M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25">
      <c r="A65" s="17">
        <v>3.9000000000000021</v>
      </c>
      <c r="B65" s="17"/>
      <c r="C65" s="17">
        <f t="shared" si="2"/>
        <v>2.8757992459330084</v>
      </c>
      <c r="D65" s="6"/>
      <c r="E65" s="10"/>
      <c r="F65" s="10"/>
      <c r="G65" s="10"/>
      <c r="H65" s="10"/>
      <c r="I65" s="10"/>
      <c r="J65" s="10"/>
      <c r="K65" s="10"/>
      <c r="L65" s="10"/>
      <c r="M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</row>
    <row r="66" spans="1:37" x14ac:dyDescent="0.25">
      <c r="A66" s="17">
        <v>4.0000000000000018</v>
      </c>
      <c r="B66" s="17"/>
      <c r="C66" s="17">
        <f t="shared" si="2"/>
        <v>2.8757992442179043</v>
      </c>
      <c r="D66" s="6"/>
      <c r="E66" s="10"/>
      <c r="F66" s="10"/>
      <c r="G66" s="10"/>
      <c r="H66" s="10"/>
      <c r="I66" s="10"/>
      <c r="J66" s="10"/>
      <c r="K66" s="10"/>
      <c r="L66" s="10"/>
      <c r="M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</row>
    <row r="67" spans="1:37" x14ac:dyDescent="0.25">
      <c r="A67" s="17">
        <v>4.1000000000000014</v>
      </c>
      <c r="B67" s="17"/>
      <c r="C67" s="17">
        <f t="shared" si="2"/>
        <v>2.8757992433078883</v>
      </c>
      <c r="D67" s="6"/>
      <c r="E67" s="10"/>
      <c r="F67" s="10"/>
      <c r="G67" s="10"/>
      <c r="H67" s="10"/>
      <c r="I67" s="10"/>
      <c r="J67" s="10"/>
      <c r="K67" s="10"/>
      <c r="L67" s="10"/>
      <c r="M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</row>
    <row r="68" spans="1:37" x14ac:dyDescent="0.25">
      <c r="A68" s="17">
        <v>4.2000000000000011</v>
      </c>
      <c r="B68" s="17"/>
      <c r="C68" s="17">
        <f t="shared" si="2"/>
        <v>2.8757992428250438</v>
      </c>
      <c r="D68" s="6"/>
      <c r="E68" s="10"/>
      <c r="F68" s="10"/>
      <c r="G68" s="10"/>
      <c r="H68" s="10"/>
      <c r="I68" s="10"/>
      <c r="J68" s="10"/>
      <c r="K68" s="10"/>
      <c r="L68" s="10"/>
      <c r="M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x14ac:dyDescent="0.25">
      <c r="A69" s="17">
        <v>4.3000000000000007</v>
      </c>
      <c r="B69" s="17"/>
      <c r="C69" s="17">
        <f t="shared" si="2"/>
        <v>2.8757992425688514</v>
      </c>
      <c r="D69" s="6"/>
      <c r="E69" s="10"/>
      <c r="F69" s="10"/>
      <c r="G69" s="10"/>
      <c r="H69" s="10"/>
      <c r="I69" s="10"/>
      <c r="J69" s="10"/>
      <c r="K69" s="10"/>
      <c r="L69" s="10"/>
      <c r="M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</row>
    <row r="70" spans="1:37" x14ac:dyDescent="0.25">
      <c r="A70" s="17">
        <v>4.4000000000000004</v>
      </c>
      <c r="B70" s="17"/>
      <c r="C70" s="17">
        <f t="shared" si="2"/>
        <v>2.8757992424329188</v>
      </c>
      <c r="D70" s="6"/>
      <c r="E70" s="10"/>
      <c r="F70" s="10"/>
      <c r="G70" s="10"/>
      <c r="H70" s="10"/>
      <c r="I70" s="10"/>
      <c r="J70" s="10"/>
      <c r="K70" s="10"/>
      <c r="L70" s="10"/>
      <c r="M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</row>
    <row r="71" spans="1:37" x14ac:dyDescent="0.25">
      <c r="A71" s="17">
        <v>4.5</v>
      </c>
      <c r="B71" s="17"/>
      <c r="C71" s="17">
        <f t="shared" si="2"/>
        <v>2.8757992423607943</v>
      </c>
      <c r="D71" s="6"/>
      <c r="E71" s="10"/>
      <c r="F71" s="10"/>
      <c r="G71" s="10"/>
      <c r="H71" s="10"/>
      <c r="I71" s="10"/>
      <c r="J71" s="10"/>
      <c r="K71" s="10"/>
      <c r="L71" s="10"/>
      <c r="M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</row>
    <row r="72" spans="1:37" x14ac:dyDescent="0.25">
      <c r="A72" s="17">
        <v>4.5999999999999996</v>
      </c>
      <c r="B72" s="17"/>
      <c r="C72" s="17">
        <f t="shared" si="2"/>
        <v>2.8757992423225258</v>
      </c>
      <c r="D72" s="6"/>
      <c r="E72" s="10"/>
      <c r="F72" s="10"/>
      <c r="G72" s="10"/>
      <c r="H72" s="10"/>
      <c r="I72" s="10"/>
      <c r="J72" s="10"/>
      <c r="K72" s="10"/>
      <c r="L72" s="10"/>
      <c r="M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</row>
    <row r="73" spans="1:37" x14ac:dyDescent="0.25">
      <c r="A73" s="17">
        <v>4.6999999999999993</v>
      </c>
      <c r="B73" s="17"/>
      <c r="C73" s="17">
        <f t="shared" si="2"/>
        <v>2.8757992423022212</v>
      </c>
      <c r="D73" s="6"/>
      <c r="E73" s="10"/>
      <c r="F73" s="10"/>
      <c r="G73" s="10"/>
      <c r="H73" s="10"/>
      <c r="I73" s="10"/>
      <c r="J73" s="10"/>
      <c r="K73" s="10"/>
      <c r="L73" s="10"/>
      <c r="M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</row>
    <row r="74" spans="1:37" x14ac:dyDescent="0.25">
      <c r="A74" s="17">
        <v>4.7999999999999989</v>
      </c>
      <c r="B74" s="17"/>
      <c r="C74" s="17">
        <f t="shared" si="2"/>
        <v>2.8757992422914476</v>
      </c>
      <c r="D74" s="6"/>
      <c r="E74" s="10"/>
      <c r="F74" s="10"/>
      <c r="G74" s="10"/>
      <c r="H74" s="10"/>
      <c r="I74" s="10"/>
      <c r="J74" s="10"/>
      <c r="K74" s="10"/>
      <c r="L74" s="10"/>
      <c r="M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</row>
    <row r="75" spans="1:37" x14ac:dyDescent="0.25">
      <c r="A75" s="17">
        <v>4.8999999999999986</v>
      </c>
      <c r="B75" s="17"/>
      <c r="C75" s="17">
        <f t="shared" si="2"/>
        <v>2.8757992422857312</v>
      </c>
      <c r="D75" s="6"/>
      <c r="E75" s="10"/>
      <c r="F75" s="10"/>
      <c r="G75" s="10"/>
      <c r="H75" s="10"/>
      <c r="I75" s="10"/>
      <c r="J75" s="10"/>
      <c r="K75" s="10"/>
      <c r="L75" s="10"/>
      <c r="M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</row>
    <row r="76" spans="1:37" x14ac:dyDescent="0.25">
      <c r="A76" s="17">
        <v>4.9999999999999982</v>
      </c>
      <c r="B76" s="17"/>
      <c r="C76" s="17">
        <f t="shared" si="2"/>
        <v>2.8757992422826981</v>
      </c>
      <c r="D76" s="6"/>
      <c r="E76" s="10"/>
      <c r="F76" s="10"/>
      <c r="G76" s="10"/>
      <c r="H76" s="10"/>
      <c r="I76" s="10"/>
      <c r="J76" s="10"/>
      <c r="K76" s="10"/>
      <c r="L76" s="10"/>
      <c r="M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x14ac:dyDescent="0.25">
      <c r="A77" s="17">
        <v>5.0999999999999979</v>
      </c>
      <c r="B77" s="17"/>
      <c r="C77" s="17">
        <f t="shared" si="2"/>
        <v>2.8757992422810892</v>
      </c>
      <c r="D77" s="6"/>
      <c r="E77" s="10"/>
      <c r="F77" s="10"/>
      <c r="G77" s="10"/>
      <c r="H77" s="10"/>
      <c r="I77" s="10"/>
      <c r="J77" s="10"/>
      <c r="K77" s="10"/>
      <c r="L77" s="10"/>
      <c r="M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25">
      <c r="A78" s="17">
        <v>5.1999999999999975</v>
      </c>
      <c r="B78" s="17"/>
      <c r="C78" s="17">
        <f t="shared" si="2"/>
        <v>2.8757992422802352</v>
      </c>
      <c r="D78" s="6"/>
      <c r="E78" s="10"/>
      <c r="F78" s="10"/>
      <c r="G78" s="10"/>
      <c r="H78" s="10"/>
      <c r="I78" s="10"/>
      <c r="J78" s="10"/>
      <c r="K78" s="10"/>
      <c r="L78" s="10"/>
      <c r="M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</row>
    <row r="79" spans="1:37" x14ac:dyDescent="0.25">
      <c r="A79" s="17">
        <v>5.2999999999999972</v>
      </c>
      <c r="B79" s="17"/>
      <c r="C79" s="17">
        <f t="shared" si="2"/>
        <v>2.8757992422797818</v>
      </c>
      <c r="D79" s="6"/>
      <c r="E79" s="10"/>
      <c r="F79" s="10"/>
      <c r="G79" s="10"/>
      <c r="H79" s="10"/>
      <c r="I79" s="10"/>
      <c r="J79" s="10"/>
      <c r="K79" s="10"/>
      <c r="L79" s="10"/>
      <c r="M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</row>
    <row r="80" spans="1:37" x14ac:dyDescent="0.25">
      <c r="A80" s="17">
        <v>5.3999999999999968</v>
      </c>
      <c r="B80" s="17"/>
      <c r="C80" s="17">
        <f t="shared" si="2"/>
        <v>2.8757992422795415</v>
      </c>
      <c r="D80" s="6"/>
      <c r="E80" s="10"/>
      <c r="F80" s="10"/>
      <c r="G80" s="10"/>
      <c r="H80" s="10"/>
      <c r="I80" s="10"/>
      <c r="J80" s="10"/>
      <c r="K80" s="10"/>
      <c r="L80" s="10"/>
      <c r="M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</row>
    <row r="81" spans="1:37" x14ac:dyDescent="0.25">
      <c r="A81" s="17">
        <v>5.4999999999999964</v>
      </c>
      <c r="B81" s="17"/>
      <c r="C81" s="17">
        <f t="shared" si="2"/>
        <v>2.8757992422794141</v>
      </c>
      <c r="D81" s="6"/>
      <c r="E81" s="10"/>
      <c r="F81" s="10"/>
      <c r="G81" s="10"/>
      <c r="H81" s="10"/>
      <c r="I81" s="10"/>
      <c r="J81" s="10"/>
      <c r="K81" s="10"/>
      <c r="L81" s="10"/>
      <c r="M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x14ac:dyDescent="0.25">
      <c r="A82" s="17">
        <v>5.5999999999999961</v>
      </c>
      <c r="B82" s="17"/>
      <c r="C82" s="17">
        <f t="shared" si="2"/>
        <v>2.8757992422793466</v>
      </c>
      <c r="D82" s="6"/>
      <c r="E82" s="10"/>
      <c r="F82" s="10"/>
      <c r="G82" s="10"/>
      <c r="H82" s="10"/>
      <c r="I82" s="10"/>
      <c r="J82" s="10"/>
      <c r="K82" s="10"/>
      <c r="L82" s="10"/>
      <c r="M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</row>
    <row r="83" spans="1:37" x14ac:dyDescent="0.25">
      <c r="A83" s="17">
        <v>5.6999999999999957</v>
      </c>
      <c r="B83" s="17"/>
      <c r="C83" s="17">
        <f t="shared" si="2"/>
        <v>2.8757992422793106</v>
      </c>
      <c r="D83" s="6"/>
      <c r="E83" s="10"/>
      <c r="F83" s="10"/>
      <c r="G83" s="10"/>
      <c r="H83" s="10"/>
      <c r="I83" s="10"/>
      <c r="J83" s="10"/>
      <c r="K83" s="10"/>
      <c r="L83" s="10"/>
      <c r="M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</row>
    <row r="84" spans="1:37" x14ac:dyDescent="0.25">
      <c r="A84" s="17">
        <v>5.7999999999999954</v>
      </c>
      <c r="B84" s="17"/>
      <c r="C84" s="17">
        <f t="shared" si="2"/>
        <v>2.8757992422792915</v>
      </c>
      <c r="D84" s="6"/>
      <c r="E84" s="10"/>
      <c r="F84" s="10"/>
      <c r="G84" s="10"/>
      <c r="H84" s="10"/>
      <c r="I84" s="10"/>
      <c r="J84" s="10"/>
      <c r="K84" s="10"/>
      <c r="L84" s="10"/>
      <c r="M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</row>
    <row r="85" spans="1:37" x14ac:dyDescent="0.25">
      <c r="A85" s="17">
        <v>5.899999999999995</v>
      </c>
      <c r="B85" s="17"/>
      <c r="C85" s="17">
        <f t="shared" si="2"/>
        <v>2.8757992422792813</v>
      </c>
      <c r="D85" s="6"/>
      <c r="E85" s="10"/>
      <c r="F85" s="10"/>
      <c r="G85" s="10"/>
      <c r="H85" s="10"/>
      <c r="I85" s="10"/>
      <c r="J85" s="10"/>
      <c r="K85" s="10"/>
      <c r="L85" s="10"/>
      <c r="M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x14ac:dyDescent="0.25">
      <c r="A86" s="17">
        <v>5.9999999999999947</v>
      </c>
      <c r="B86" s="17"/>
      <c r="C86" s="17">
        <f t="shared" si="2"/>
        <v>2.875799242279276</v>
      </c>
      <c r="D86" s="6"/>
      <c r="E86" s="10"/>
      <c r="F86" s="10"/>
      <c r="G86" s="10"/>
      <c r="H86" s="10"/>
      <c r="I86" s="10"/>
      <c r="J86" s="10"/>
      <c r="K86" s="10"/>
      <c r="L86" s="10"/>
      <c r="M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</row>
    <row r="87" spans="1:37" x14ac:dyDescent="0.25">
      <c r="A87" s="17">
        <v>6.0999999999999943</v>
      </c>
      <c r="B87" s="17"/>
      <c r="C87" s="17">
        <f t="shared" si="2"/>
        <v>2.8757992422792733</v>
      </c>
      <c r="D87" s="6"/>
      <c r="E87" s="10"/>
      <c r="F87" s="10"/>
      <c r="G87" s="10"/>
      <c r="H87" s="10"/>
      <c r="I87" s="10"/>
      <c r="J87" s="10"/>
      <c r="K87" s="10"/>
      <c r="L87" s="10"/>
      <c r="M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</row>
    <row r="88" spans="1:37" x14ac:dyDescent="0.25">
      <c r="A88" s="17">
        <v>6.199999999999994</v>
      </c>
      <c r="B88" s="17"/>
      <c r="C88" s="17">
        <f t="shared" si="2"/>
        <v>2.8757992422792715</v>
      </c>
      <c r="D88" s="6"/>
      <c r="E88" s="10"/>
      <c r="F88" s="10"/>
      <c r="G88" s="10"/>
      <c r="H88" s="10"/>
      <c r="I88" s="10"/>
      <c r="J88" s="10"/>
      <c r="K88" s="10"/>
      <c r="L88" s="10"/>
      <c r="M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</row>
    <row r="89" spans="1:37" x14ac:dyDescent="0.25">
      <c r="A89" s="17">
        <v>6.2999999999999936</v>
      </c>
      <c r="B89" s="17"/>
      <c r="C89" s="17">
        <f t="shared" si="2"/>
        <v>2.8757992422792706</v>
      </c>
      <c r="D89" s="6"/>
      <c r="E89" s="10"/>
      <c r="F89" s="10"/>
      <c r="G89" s="10"/>
      <c r="H89" s="10"/>
      <c r="I89" s="10"/>
      <c r="J89" s="10"/>
      <c r="K89" s="10"/>
      <c r="L89" s="10"/>
      <c r="M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</row>
    <row r="90" spans="1:37" x14ac:dyDescent="0.25">
      <c r="A90" s="17">
        <v>6.3999999999999932</v>
      </c>
      <c r="B90" s="17"/>
      <c r="C90" s="17">
        <f t="shared" si="2"/>
        <v>2.8757992422792702</v>
      </c>
      <c r="D90" s="6"/>
      <c r="E90" s="10"/>
      <c r="F90" s="10"/>
      <c r="G90" s="10"/>
      <c r="H90" s="10"/>
      <c r="I90" s="10"/>
      <c r="J90" s="10"/>
      <c r="K90" s="10"/>
      <c r="L90" s="10"/>
      <c r="M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</row>
    <row r="91" spans="1:37" x14ac:dyDescent="0.25">
      <c r="A91" s="17">
        <v>6.4999999999999929</v>
      </c>
      <c r="B91" s="17"/>
      <c r="C91" s="17">
        <f t="shared" ref="C91:C126" si="3" xml:space="preserve"> LOG((10^$G$5 - 10^$G$4) * EXP(-$G$3 *A91 )  + 10^$G$4)</f>
        <v>2.8757992422792702</v>
      </c>
      <c r="D91" s="6"/>
      <c r="E91" s="10"/>
      <c r="F91" s="10"/>
      <c r="G91" s="10"/>
      <c r="H91" s="10"/>
      <c r="I91" s="10"/>
      <c r="J91" s="10"/>
      <c r="K91" s="10"/>
      <c r="L91" s="10"/>
      <c r="M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</row>
    <row r="92" spans="1:37" x14ac:dyDescent="0.25">
      <c r="A92" s="17">
        <v>6.5999999999999925</v>
      </c>
      <c r="B92" s="17"/>
      <c r="C92" s="17">
        <f t="shared" si="3"/>
        <v>2.8757992422792702</v>
      </c>
      <c r="D92" s="6"/>
      <c r="E92" s="10"/>
      <c r="F92" s="10"/>
      <c r="G92" s="10"/>
      <c r="H92" s="10"/>
      <c r="I92" s="10"/>
      <c r="J92" s="10"/>
      <c r="K92" s="10"/>
      <c r="L92" s="10"/>
      <c r="M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</row>
    <row r="93" spans="1:37" x14ac:dyDescent="0.25">
      <c r="A93" s="17">
        <v>6.6999999999999922</v>
      </c>
      <c r="B93" s="17"/>
      <c r="C93" s="17">
        <f t="shared" si="3"/>
        <v>2.8757992422792702</v>
      </c>
      <c r="D93" s="6"/>
      <c r="E93" s="10"/>
      <c r="F93" s="10"/>
      <c r="G93" s="10"/>
      <c r="H93" s="10"/>
      <c r="I93" s="10"/>
      <c r="J93" s="10"/>
      <c r="K93" s="10"/>
      <c r="L93" s="10"/>
      <c r="M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</row>
    <row r="94" spans="1:37" x14ac:dyDescent="0.25">
      <c r="A94" s="17">
        <v>6.7999999999999918</v>
      </c>
      <c r="B94" s="17"/>
      <c r="C94" s="17">
        <f t="shared" si="3"/>
        <v>2.8757992422792702</v>
      </c>
      <c r="D94" s="6"/>
      <c r="E94" s="10"/>
      <c r="F94" s="10"/>
      <c r="G94" s="10"/>
      <c r="H94" s="10"/>
      <c r="I94" s="10"/>
      <c r="J94" s="10"/>
      <c r="K94" s="10"/>
      <c r="L94" s="10"/>
      <c r="M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</row>
    <row r="95" spans="1:37" x14ac:dyDescent="0.25">
      <c r="A95" s="17">
        <v>6.8999999999999915</v>
      </c>
      <c r="B95" s="17"/>
      <c r="C95" s="17">
        <f t="shared" si="3"/>
        <v>2.8757992422792698</v>
      </c>
      <c r="D95" s="6"/>
      <c r="E95" s="10"/>
      <c r="F95" s="10"/>
      <c r="G95" s="10"/>
      <c r="H95" s="10"/>
      <c r="I95" s="10"/>
      <c r="J95" s="10"/>
      <c r="K95" s="10"/>
      <c r="L95" s="10"/>
      <c r="M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</row>
    <row r="96" spans="1:37" x14ac:dyDescent="0.25">
      <c r="A96" s="17">
        <v>6.9999999999999911</v>
      </c>
      <c r="B96" s="17"/>
      <c r="C96" s="17">
        <f t="shared" si="3"/>
        <v>2.8757992422792698</v>
      </c>
      <c r="D96" s="6"/>
      <c r="E96" s="10"/>
      <c r="F96" s="10"/>
      <c r="G96" s="10"/>
      <c r="H96" s="10"/>
      <c r="I96" s="10"/>
      <c r="J96" s="10"/>
      <c r="K96" s="10"/>
      <c r="L96" s="10"/>
      <c r="M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</row>
    <row r="97" spans="1:37" x14ac:dyDescent="0.25">
      <c r="A97" s="17">
        <v>7.0999999999999908</v>
      </c>
      <c r="B97" s="17"/>
      <c r="C97" s="17">
        <f t="shared" si="3"/>
        <v>2.8757992422792698</v>
      </c>
      <c r="D97" s="6"/>
      <c r="E97" s="10"/>
      <c r="F97" s="10"/>
      <c r="G97" s="10"/>
      <c r="H97" s="10"/>
      <c r="I97" s="10"/>
      <c r="J97" s="10"/>
      <c r="K97" s="10"/>
      <c r="L97" s="10"/>
      <c r="M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</row>
    <row r="98" spans="1:37" x14ac:dyDescent="0.25">
      <c r="A98" s="17">
        <v>7.1999999999999904</v>
      </c>
      <c r="B98" s="17"/>
      <c r="C98" s="17">
        <f t="shared" si="3"/>
        <v>2.8757992422792698</v>
      </c>
      <c r="D98" s="6"/>
      <c r="E98" s="10"/>
      <c r="F98" s="10"/>
      <c r="G98" s="10"/>
      <c r="H98" s="10"/>
      <c r="I98" s="10"/>
      <c r="J98" s="10"/>
      <c r="K98" s="10"/>
      <c r="L98" s="10"/>
      <c r="M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</row>
    <row r="99" spans="1:37" x14ac:dyDescent="0.25">
      <c r="A99" s="17">
        <v>7.2999999999999901</v>
      </c>
      <c r="B99" s="17"/>
      <c r="C99" s="17">
        <f t="shared" si="3"/>
        <v>2.8757992422792698</v>
      </c>
      <c r="D99" s="6"/>
      <c r="E99" s="10"/>
      <c r="F99" s="10"/>
      <c r="G99" s="10"/>
      <c r="H99" s="10"/>
      <c r="I99" s="10"/>
      <c r="J99" s="10"/>
      <c r="K99" s="10"/>
      <c r="L99" s="10"/>
      <c r="M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</row>
    <row r="100" spans="1:37" x14ac:dyDescent="0.25">
      <c r="A100" s="17">
        <v>7.3999999999999897</v>
      </c>
      <c r="B100" s="17"/>
      <c r="C100" s="17">
        <f t="shared" si="3"/>
        <v>2.8757992422792698</v>
      </c>
      <c r="D100" s="6"/>
      <c r="E100" s="10"/>
      <c r="F100" s="10"/>
      <c r="G100" s="10"/>
      <c r="H100" s="10"/>
      <c r="I100" s="10"/>
      <c r="J100" s="10"/>
      <c r="K100" s="10"/>
      <c r="L100" s="10"/>
      <c r="M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</row>
    <row r="101" spans="1:37" x14ac:dyDescent="0.25">
      <c r="A101" s="17">
        <v>7.4999999999999893</v>
      </c>
      <c r="B101" s="17"/>
      <c r="C101" s="17">
        <f t="shared" si="3"/>
        <v>2.8757992422792698</v>
      </c>
      <c r="D101" s="6"/>
      <c r="E101" s="10"/>
      <c r="F101" s="10"/>
      <c r="G101" s="10"/>
      <c r="H101" s="10"/>
      <c r="I101" s="10"/>
      <c r="J101" s="10"/>
      <c r="K101" s="10"/>
      <c r="L101" s="10"/>
      <c r="M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</row>
    <row r="102" spans="1:37" x14ac:dyDescent="0.25">
      <c r="A102" s="17">
        <v>7.599999999999989</v>
      </c>
      <c r="B102" s="17"/>
      <c r="C102" s="17">
        <f t="shared" si="3"/>
        <v>2.8757992422792698</v>
      </c>
      <c r="D102" s="6"/>
      <c r="E102" s="10"/>
      <c r="F102" s="10"/>
      <c r="G102" s="10"/>
      <c r="H102" s="10"/>
      <c r="I102" s="10"/>
      <c r="J102" s="10"/>
      <c r="K102" s="10"/>
      <c r="L102" s="10"/>
      <c r="M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</row>
    <row r="103" spans="1:37" x14ac:dyDescent="0.25">
      <c r="A103" s="17">
        <v>7.6999999999999886</v>
      </c>
      <c r="B103" s="17"/>
      <c r="C103" s="17">
        <f t="shared" si="3"/>
        <v>2.8757992422792698</v>
      </c>
      <c r="D103" s="6"/>
      <c r="E103" s="10"/>
      <c r="F103" s="10"/>
      <c r="G103" s="10"/>
      <c r="H103" s="10"/>
      <c r="I103" s="10"/>
      <c r="J103" s="10"/>
      <c r="K103" s="10"/>
      <c r="L103" s="10"/>
      <c r="M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</row>
    <row r="104" spans="1:37" x14ac:dyDescent="0.25">
      <c r="A104" s="17">
        <v>7.7999999999999883</v>
      </c>
      <c r="B104" s="17"/>
      <c r="C104" s="17">
        <f t="shared" si="3"/>
        <v>2.8757992422792698</v>
      </c>
      <c r="D104" s="6"/>
      <c r="E104" s="10"/>
      <c r="F104" s="10"/>
      <c r="G104" s="10"/>
      <c r="H104" s="10"/>
      <c r="I104" s="10"/>
      <c r="J104" s="10"/>
      <c r="K104" s="10"/>
      <c r="L104" s="10"/>
      <c r="M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</row>
    <row r="105" spans="1:37" x14ac:dyDescent="0.25">
      <c r="A105" s="17">
        <v>7.8999999999999879</v>
      </c>
      <c r="B105" s="17"/>
      <c r="C105" s="17">
        <f t="shared" si="3"/>
        <v>2.8757992422792698</v>
      </c>
      <c r="D105" s="6"/>
      <c r="E105" s="10"/>
      <c r="F105" s="10"/>
      <c r="G105" s="10"/>
      <c r="H105" s="10"/>
      <c r="I105" s="10"/>
      <c r="J105" s="10"/>
      <c r="K105" s="10"/>
      <c r="L105" s="10"/>
      <c r="M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</row>
    <row r="106" spans="1:37" x14ac:dyDescent="0.25">
      <c r="A106" s="17">
        <v>7.9999999999999876</v>
      </c>
      <c r="B106" s="17"/>
      <c r="C106" s="17">
        <f t="shared" si="3"/>
        <v>2.8757992422792698</v>
      </c>
      <c r="D106" s="6"/>
      <c r="E106" s="10"/>
      <c r="F106" s="10"/>
      <c r="G106" s="10"/>
      <c r="H106" s="10"/>
      <c r="I106" s="10"/>
      <c r="J106" s="10"/>
      <c r="K106" s="10"/>
      <c r="L106" s="10"/>
      <c r="M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</row>
    <row r="107" spans="1:37" x14ac:dyDescent="0.25">
      <c r="A107" s="17">
        <v>8.0999999999999872</v>
      </c>
      <c r="B107" s="17"/>
      <c r="C107" s="17">
        <f t="shared" si="3"/>
        <v>2.8757992422792698</v>
      </c>
      <c r="D107" s="6"/>
      <c r="E107" s="10"/>
      <c r="F107" s="10"/>
      <c r="G107" s="10"/>
      <c r="H107" s="10"/>
      <c r="I107" s="10"/>
      <c r="J107" s="10"/>
      <c r="K107" s="10"/>
      <c r="L107" s="10"/>
      <c r="M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</row>
    <row r="108" spans="1:37" x14ac:dyDescent="0.25">
      <c r="A108" s="17">
        <v>8.1999999999999869</v>
      </c>
      <c r="B108" s="17"/>
      <c r="C108" s="17">
        <f t="shared" si="3"/>
        <v>2.8757992422792698</v>
      </c>
      <c r="D108" s="6"/>
      <c r="E108" s="10"/>
      <c r="F108" s="10"/>
      <c r="G108" s="10"/>
      <c r="H108" s="10"/>
      <c r="I108" s="10"/>
      <c r="J108" s="10"/>
      <c r="K108" s="10"/>
      <c r="L108" s="10"/>
      <c r="M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</row>
    <row r="109" spans="1:37" x14ac:dyDescent="0.25">
      <c r="A109" s="17">
        <v>8.2999999999999865</v>
      </c>
      <c r="B109" s="17"/>
      <c r="C109" s="17">
        <f t="shared" si="3"/>
        <v>2.8757992422792698</v>
      </c>
      <c r="D109" s="6"/>
      <c r="E109" s="10"/>
      <c r="F109" s="10"/>
      <c r="G109" s="10"/>
      <c r="H109" s="10"/>
      <c r="I109" s="10"/>
      <c r="J109" s="10"/>
      <c r="K109" s="10"/>
      <c r="L109" s="10"/>
      <c r="M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</row>
    <row r="110" spans="1:37" x14ac:dyDescent="0.25">
      <c r="A110" s="17">
        <v>8.3999999999999861</v>
      </c>
      <c r="B110" s="17"/>
      <c r="C110" s="17">
        <f t="shared" si="3"/>
        <v>2.8757992422792698</v>
      </c>
      <c r="D110" s="6"/>
      <c r="E110" s="10"/>
      <c r="F110" s="10"/>
      <c r="G110" s="10"/>
      <c r="H110" s="10"/>
      <c r="I110" s="10"/>
      <c r="J110" s="10"/>
      <c r="K110" s="10"/>
      <c r="L110" s="10"/>
      <c r="M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</row>
    <row r="111" spans="1:37" x14ac:dyDescent="0.25">
      <c r="A111" s="17">
        <v>8.4999999999999858</v>
      </c>
      <c r="B111" s="17"/>
      <c r="C111" s="17">
        <f t="shared" si="3"/>
        <v>2.8757992422792698</v>
      </c>
      <c r="D111" s="6"/>
      <c r="E111" s="10"/>
      <c r="F111" s="10"/>
      <c r="G111" s="10"/>
      <c r="H111" s="10"/>
      <c r="I111" s="10"/>
      <c r="J111" s="10"/>
      <c r="K111" s="10"/>
      <c r="L111" s="10"/>
      <c r="M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</row>
    <row r="112" spans="1:37" x14ac:dyDescent="0.25">
      <c r="A112" s="17">
        <v>8.5999999999999854</v>
      </c>
      <c r="B112" s="17"/>
      <c r="C112" s="17">
        <f t="shared" si="3"/>
        <v>2.8757992422792698</v>
      </c>
      <c r="D112" s="6"/>
      <c r="E112" s="10"/>
      <c r="F112" s="10"/>
      <c r="G112" s="10"/>
      <c r="H112" s="10"/>
      <c r="I112" s="10"/>
      <c r="J112" s="10"/>
      <c r="K112" s="10"/>
      <c r="L112" s="10"/>
      <c r="M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</row>
    <row r="113" spans="1:37" x14ac:dyDescent="0.25">
      <c r="A113" s="17">
        <v>8.6999999999999851</v>
      </c>
      <c r="B113" s="17"/>
      <c r="C113" s="17">
        <f t="shared" si="3"/>
        <v>2.8757992422792698</v>
      </c>
      <c r="D113" s="6"/>
      <c r="E113" s="10"/>
      <c r="F113" s="10"/>
      <c r="G113" s="10"/>
      <c r="H113" s="10"/>
      <c r="I113" s="10"/>
      <c r="J113" s="10"/>
      <c r="K113" s="10"/>
      <c r="L113" s="10"/>
      <c r="M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</row>
    <row r="114" spans="1:37" x14ac:dyDescent="0.25">
      <c r="A114" s="17">
        <v>8.7999999999999847</v>
      </c>
      <c r="B114" s="17"/>
      <c r="C114" s="17">
        <f t="shared" si="3"/>
        <v>2.8757992422792698</v>
      </c>
      <c r="D114" s="6"/>
      <c r="E114" s="10"/>
      <c r="F114" s="10"/>
      <c r="G114" s="10"/>
      <c r="H114" s="10"/>
      <c r="I114" s="10"/>
      <c r="J114" s="10"/>
      <c r="K114" s="10"/>
      <c r="L114" s="10"/>
      <c r="M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</row>
    <row r="115" spans="1:37" x14ac:dyDescent="0.25">
      <c r="A115" s="17">
        <v>8.8999999999999844</v>
      </c>
      <c r="B115" s="17"/>
      <c r="C115" s="17">
        <f t="shared" si="3"/>
        <v>2.8757992422792698</v>
      </c>
      <c r="D115" s="6"/>
      <c r="E115" s="10"/>
      <c r="F115" s="10"/>
      <c r="G115" s="10"/>
      <c r="H115" s="10"/>
      <c r="I115" s="10"/>
      <c r="J115" s="10"/>
      <c r="K115" s="10"/>
      <c r="L115" s="10"/>
      <c r="M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</row>
    <row r="116" spans="1:37" x14ac:dyDescent="0.25">
      <c r="A116" s="17">
        <v>8.999999999999984</v>
      </c>
      <c r="B116" s="17"/>
      <c r="C116" s="17">
        <f t="shared" si="3"/>
        <v>2.8757992422792698</v>
      </c>
      <c r="D116" s="6"/>
      <c r="E116" s="10"/>
      <c r="F116" s="10"/>
      <c r="G116" s="10"/>
      <c r="H116" s="10"/>
      <c r="I116" s="10"/>
      <c r="J116" s="10"/>
      <c r="K116" s="10"/>
      <c r="L116" s="10"/>
      <c r="M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</row>
    <row r="117" spans="1:37" x14ac:dyDescent="0.25">
      <c r="A117" s="17">
        <v>9.0999999999999837</v>
      </c>
      <c r="B117" s="17"/>
      <c r="C117" s="17">
        <f t="shared" si="3"/>
        <v>2.8757992422792698</v>
      </c>
      <c r="D117" s="6"/>
      <c r="E117" s="10"/>
      <c r="F117" s="10"/>
      <c r="G117" s="10"/>
      <c r="H117" s="10"/>
      <c r="I117" s="10"/>
      <c r="J117" s="10"/>
      <c r="K117" s="10"/>
      <c r="L117" s="10"/>
      <c r="M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</row>
    <row r="118" spans="1:37" x14ac:dyDescent="0.25">
      <c r="A118" s="17">
        <v>9.1999999999999833</v>
      </c>
      <c r="B118" s="17"/>
      <c r="C118" s="17">
        <f t="shared" si="3"/>
        <v>2.8757992422792698</v>
      </c>
      <c r="D118" s="6"/>
      <c r="E118" s="10"/>
      <c r="F118" s="10"/>
      <c r="G118" s="10"/>
      <c r="H118" s="10"/>
      <c r="I118" s="10"/>
      <c r="J118" s="10"/>
      <c r="K118" s="10"/>
      <c r="L118" s="10"/>
      <c r="M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</row>
    <row r="119" spans="1:37" x14ac:dyDescent="0.25">
      <c r="A119" s="17">
        <v>9.2999999999999829</v>
      </c>
      <c r="B119" s="17"/>
      <c r="C119" s="17">
        <f t="shared" si="3"/>
        <v>2.8757992422792698</v>
      </c>
      <c r="D119" s="6"/>
      <c r="E119" s="10"/>
      <c r="F119" s="10"/>
      <c r="G119" s="10"/>
      <c r="H119" s="10"/>
      <c r="I119" s="10"/>
      <c r="J119" s="10"/>
      <c r="K119" s="10"/>
      <c r="L119" s="10"/>
      <c r="M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</row>
    <row r="120" spans="1:37" x14ac:dyDescent="0.25">
      <c r="A120" s="17">
        <v>9.3999999999999826</v>
      </c>
      <c r="B120" s="17"/>
      <c r="C120" s="17">
        <f t="shared" si="3"/>
        <v>2.8757992422792698</v>
      </c>
      <c r="D120" s="6"/>
      <c r="E120" s="10"/>
      <c r="F120" s="10"/>
      <c r="G120" s="10"/>
      <c r="H120" s="10"/>
      <c r="I120" s="10"/>
      <c r="J120" s="10"/>
      <c r="K120" s="10"/>
      <c r="L120" s="10"/>
      <c r="M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</row>
    <row r="121" spans="1:37" x14ac:dyDescent="0.25">
      <c r="A121" s="17">
        <v>9.4999999999999822</v>
      </c>
      <c r="B121" s="17"/>
      <c r="C121" s="17">
        <f t="shared" si="3"/>
        <v>2.8757992422792698</v>
      </c>
      <c r="D121" s="6"/>
      <c r="E121" s="10"/>
      <c r="F121" s="10"/>
      <c r="G121" s="10"/>
      <c r="H121" s="10"/>
      <c r="I121" s="10"/>
      <c r="J121" s="10"/>
      <c r="K121" s="10"/>
      <c r="L121" s="10"/>
      <c r="M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</row>
    <row r="122" spans="1:37" x14ac:dyDescent="0.25">
      <c r="A122" s="17">
        <v>9.5999999999999819</v>
      </c>
      <c r="B122" s="17"/>
      <c r="C122" s="17">
        <f t="shared" si="3"/>
        <v>2.8757992422792698</v>
      </c>
      <c r="D122" s="6"/>
      <c r="E122" s="10"/>
      <c r="F122" s="10"/>
      <c r="G122" s="10"/>
      <c r="H122" s="10"/>
      <c r="I122" s="10"/>
      <c r="J122" s="10"/>
      <c r="K122" s="10"/>
      <c r="L122" s="10"/>
      <c r="M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</row>
    <row r="123" spans="1:37" x14ac:dyDescent="0.25">
      <c r="A123" s="17">
        <v>9.6999999999999815</v>
      </c>
      <c r="B123" s="17"/>
      <c r="C123" s="17">
        <f t="shared" si="3"/>
        <v>2.8757992422792698</v>
      </c>
      <c r="D123" s="6"/>
      <c r="E123" s="10"/>
      <c r="F123" s="10"/>
      <c r="G123" s="10"/>
      <c r="H123" s="10"/>
      <c r="I123" s="10"/>
      <c r="J123" s="10"/>
      <c r="K123" s="10"/>
      <c r="L123" s="10"/>
      <c r="M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</row>
    <row r="124" spans="1:37" x14ac:dyDescent="0.25">
      <c r="A124" s="17">
        <v>9.7999999999999812</v>
      </c>
      <c r="B124" s="17"/>
      <c r="C124" s="17">
        <f t="shared" si="3"/>
        <v>2.8757992422792698</v>
      </c>
      <c r="D124" s="6"/>
      <c r="E124" s="10"/>
      <c r="F124" s="10"/>
      <c r="G124" s="10"/>
      <c r="H124" s="10"/>
      <c r="I124" s="10"/>
      <c r="J124" s="10"/>
      <c r="K124" s="10"/>
      <c r="L124" s="10"/>
      <c r="M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</row>
    <row r="125" spans="1:37" x14ac:dyDescent="0.25">
      <c r="A125" s="17">
        <v>9.8999999999999808</v>
      </c>
      <c r="B125" s="17"/>
      <c r="C125" s="17">
        <f t="shared" si="3"/>
        <v>2.8757992422792698</v>
      </c>
      <c r="D125" s="6"/>
      <c r="E125" s="10"/>
      <c r="F125" s="10"/>
      <c r="G125" s="10"/>
      <c r="H125" s="10"/>
      <c r="I125" s="10"/>
      <c r="J125" s="10"/>
      <c r="K125" s="10"/>
      <c r="L125" s="10"/>
      <c r="M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</row>
    <row r="126" spans="1:37" x14ac:dyDescent="0.25">
      <c r="A126" s="17">
        <v>9.9999999999999805</v>
      </c>
      <c r="B126" s="17"/>
      <c r="C126" s="17">
        <f t="shared" si="3"/>
        <v>2.8757992422792698</v>
      </c>
      <c r="D126" s="6"/>
      <c r="E126" s="10"/>
      <c r="F126" s="10"/>
      <c r="G126" s="10"/>
      <c r="H126" s="10"/>
      <c r="I126" s="10"/>
      <c r="J126" s="10"/>
      <c r="K126" s="10"/>
      <c r="L126" s="10"/>
      <c r="M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</row>
  </sheetData>
  <mergeCells count="1">
    <mergeCell ref="F12:L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80" zoomScaleNormal="80" workbookViewId="0">
      <selection sqref="A1:F22"/>
    </sheetView>
  </sheetViews>
  <sheetFormatPr defaultRowHeight="15" x14ac:dyDescent="0.25"/>
  <cols>
    <col min="1" max="1" width="9.140625" style="8"/>
    <col min="2" max="2" width="10.5703125" style="8" bestFit="1" customWidth="1"/>
    <col min="3" max="3" width="11.7109375" style="8" bestFit="1" customWidth="1"/>
    <col min="4" max="4" width="13.7109375" style="8" bestFit="1" customWidth="1"/>
    <col min="5" max="6" width="9.140625" style="8"/>
    <col min="7" max="16384" width="9.140625" style="9"/>
  </cols>
  <sheetData>
    <row r="1" spans="1:11" x14ac:dyDescent="0.25">
      <c r="A1" s="8" t="s">
        <v>4</v>
      </c>
      <c r="B1" s="8" t="s">
        <v>5</v>
      </c>
      <c r="C1" s="8" t="s">
        <v>38</v>
      </c>
      <c r="D1" s="8" t="s">
        <v>39</v>
      </c>
      <c r="E1" s="8" t="s">
        <v>6</v>
      </c>
      <c r="F1" s="8" t="s">
        <v>3</v>
      </c>
    </row>
    <row r="2" spans="1:11" x14ac:dyDescent="0.25">
      <c r="A2" s="8">
        <v>13126</v>
      </c>
      <c r="B2" s="8" t="s">
        <v>0</v>
      </c>
      <c r="C2" s="8" t="s">
        <v>42</v>
      </c>
      <c r="D2" s="8" t="s">
        <v>41</v>
      </c>
      <c r="E2" s="8">
        <v>0</v>
      </c>
      <c r="F2" s="8">
        <f>LOG10(9.3*10^4)</f>
        <v>4.9684829485539348</v>
      </c>
      <c r="H2" s="13"/>
      <c r="I2" s="8"/>
      <c r="J2" s="8"/>
      <c r="K2" s="8"/>
    </row>
    <row r="3" spans="1:11" x14ac:dyDescent="0.25">
      <c r="A3" s="8">
        <v>13126</v>
      </c>
      <c r="B3" s="8" t="s">
        <v>0</v>
      </c>
      <c r="C3" s="8" t="s">
        <v>42</v>
      </c>
      <c r="D3" s="8" t="s">
        <v>41</v>
      </c>
      <c r="E3" s="8">
        <v>1</v>
      </c>
      <c r="F3" s="8">
        <f>LOG10(5.7*10^2)</f>
        <v>2.7558748556724915</v>
      </c>
      <c r="H3" s="13"/>
      <c r="I3" s="8"/>
      <c r="J3" s="8"/>
      <c r="K3" s="8"/>
    </row>
    <row r="4" spans="1:11" x14ac:dyDescent="0.25">
      <c r="A4" s="8">
        <v>13126</v>
      </c>
      <c r="B4" s="8" t="s">
        <v>0</v>
      </c>
      <c r="C4" s="8" t="s">
        <v>42</v>
      </c>
      <c r="D4" s="8" t="s">
        <v>41</v>
      </c>
      <c r="E4" s="8">
        <v>2</v>
      </c>
      <c r="F4" s="8">
        <f>LOG10(1.03*10^3)</f>
        <v>3.012837224705172</v>
      </c>
      <c r="H4" s="13"/>
      <c r="I4" s="8"/>
      <c r="J4" s="8"/>
      <c r="K4" s="8"/>
    </row>
    <row r="5" spans="1:11" x14ac:dyDescent="0.25">
      <c r="A5" s="8">
        <v>13126</v>
      </c>
      <c r="B5" s="8" t="s">
        <v>0</v>
      </c>
      <c r="C5" s="8" t="s">
        <v>42</v>
      </c>
      <c r="D5" s="8" t="s">
        <v>41</v>
      </c>
      <c r="E5" s="8">
        <v>4</v>
      </c>
      <c r="F5" s="8">
        <f>LOG10(3.7*10^2)</f>
        <v>2.568201724066995</v>
      </c>
      <c r="H5" s="14"/>
    </row>
    <row r="6" spans="1:11" x14ac:dyDescent="0.25">
      <c r="A6" s="8">
        <v>13126</v>
      </c>
      <c r="B6" s="8" t="s">
        <v>0</v>
      </c>
      <c r="C6" s="8" t="s">
        <v>42</v>
      </c>
      <c r="D6" s="8" t="s">
        <v>41</v>
      </c>
      <c r="E6" s="8">
        <v>6</v>
      </c>
      <c r="F6" s="8">
        <f>LOG10(3.7*10^3)</f>
        <v>3.568201724066995</v>
      </c>
      <c r="H6" s="14"/>
    </row>
    <row r="7" spans="1:11" x14ac:dyDescent="0.25">
      <c r="A7" s="8">
        <v>13126</v>
      </c>
      <c r="B7" s="8" t="s">
        <v>0</v>
      </c>
      <c r="C7" s="8" t="s">
        <v>42</v>
      </c>
      <c r="D7" s="8" t="s">
        <v>41</v>
      </c>
      <c r="E7" s="8">
        <v>8</v>
      </c>
      <c r="F7" s="8">
        <f>LOG10(1.65*10^3)</f>
        <v>3.2174839442139063</v>
      </c>
      <c r="H7" s="14"/>
    </row>
    <row r="8" spans="1:11" x14ac:dyDescent="0.25">
      <c r="A8" s="8">
        <v>13126</v>
      </c>
      <c r="B8" s="8" t="s">
        <v>0</v>
      </c>
      <c r="C8" s="8" t="s">
        <v>42</v>
      </c>
      <c r="D8" s="8" t="s">
        <v>41</v>
      </c>
      <c r="E8" s="8">
        <v>10</v>
      </c>
      <c r="F8" s="8">
        <f>LOG10(0.15*10^2)</f>
        <v>1.1760912590556813</v>
      </c>
      <c r="H8" s="14"/>
    </row>
    <row r="9" spans="1:11" x14ac:dyDescent="0.25">
      <c r="A9" s="8">
        <v>13126</v>
      </c>
      <c r="B9" s="8" t="s">
        <v>1</v>
      </c>
      <c r="C9" s="8" t="s">
        <v>42</v>
      </c>
      <c r="D9" s="8" t="s">
        <v>41</v>
      </c>
      <c r="E9" s="8">
        <v>0</v>
      </c>
      <c r="F9" s="8">
        <f>LOG10(7.7*10^5)</f>
        <v>5.8864907251724823</v>
      </c>
      <c r="H9" s="14"/>
    </row>
    <row r="10" spans="1:11" x14ac:dyDescent="0.25">
      <c r="A10" s="8">
        <v>13126</v>
      </c>
      <c r="B10" s="8" t="s">
        <v>1</v>
      </c>
      <c r="C10" s="8" t="s">
        <v>42</v>
      </c>
      <c r="D10" s="8" t="s">
        <v>41</v>
      </c>
      <c r="E10" s="8">
        <v>1</v>
      </c>
      <c r="F10" s="8">
        <f>LOG10(4*10^2)</f>
        <v>2.6020599913279625</v>
      </c>
      <c r="H10" s="14"/>
    </row>
    <row r="11" spans="1:11" x14ac:dyDescent="0.25">
      <c r="A11" s="8">
        <v>13126</v>
      </c>
      <c r="B11" s="8" t="s">
        <v>1</v>
      </c>
      <c r="C11" s="8" t="s">
        <v>42</v>
      </c>
      <c r="D11" s="8" t="s">
        <v>41</v>
      </c>
      <c r="E11" s="8">
        <v>2</v>
      </c>
      <c r="F11" s="8">
        <f>LOG10(2.7*10^3)</f>
        <v>3.4313637641589874</v>
      </c>
      <c r="H11" s="14"/>
    </row>
    <row r="12" spans="1:11" x14ac:dyDescent="0.25">
      <c r="A12" s="8">
        <v>13126</v>
      </c>
      <c r="B12" s="8" t="s">
        <v>1</v>
      </c>
      <c r="C12" s="8" t="s">
        <v>42</v>
      </c>
      <c r="D12" s="8" t="s">
        <v>41</v>
      </c>
      <c r="E12" s="8">
        <v>4</v>
      </c>
      <c r="F12" s="8">
        <f>LOG10(2*10^3)</f>
        <v>3.3010299956639813</v>
      </c>
      <c r="H12" s="14"/>
    </row>
    <row r="13" spans="1:11" x14ac:dyDescent="0.25">
      <c r="A13" s="8">
        <v>13126</v>
      </c>
      <c r="B13" s="8" t="s">
        <v>1</v>
      </c>
      <c r="C13" s="8" t="s">
        <v>42</v>
      </c>
      <c r="D13" s="8" t="s">
        <v>41</v>
      </c>
      <c r="E13" s="8">
        <v>6</v>
      </c>
      <c r="F13" s="8">
        <f>LOG10(3.3*10^2)</f>
        <v>2.5185139398778875</v>
      </c>
    </row>
    <row r="14" spans="1:11" x14ac:dyDescent="0.25">
      <c r="A14" s="8">
        <v>13126</v>
      </c>
      <c r="B14" s="8" t="s">
        <v>1</v>
      </c>
      <c r="C14" s="8" t="s">
        <v>42</v>
      </c>
      <c r="D14" s="8" t="s">
        <v>41</v>
      </c>
      <c r="E14" s="8">
        <v>8</v>
      </c>
      <c r="F14" s="8">
        <f>LOG10(2.35*10^2)</f>
        <v>2.3710678622717363</v>
      </c>
    </row>
    <row r="15" spans="1:11" x14ac:dyDescent="0.25">
      <c r="A15" s="8">
        <v>13126</v>
      </c>
      <c r="B15" s="8" t="s">
        <v>1</v>
      </c>
      <c r="C15" s="8" t="s">
        <v>42</v>
      </c>
      <c r="D15" s="8" t="s">
        <v>41</v>
      </c>
      <c r="E15" s="8">
        <v>10</v>
      </c>
      <c r="F15" s="8">
        <f>LOG10(0.35*10^2)</f>
        <v>1.5440680443502757</v>
      </c>
    </row>
    <row r="16" spans="1:11" x14ac:dyDescent="0.25">
      <c r="A16" s="8">
        <v>13126</v>
      </c>
      <c r="B16" s="8" t="s">
        <v>2</v>
      </c>
      <c r="C16" s="8" t="s">
        <v>42</v>
      </c>
      <c r="D16" s="8" t="s">
        <v>41</v>
      </c>
      <c r="E16" s="8">
        <v>0</v>
      </c>
      <c r="F16" s="8">
        <f>LOG10(5.7*10^5)</f>
        <v>5.7558748556724915</v>
      </c>
    </row>
    <row r="17" spans="1:6" x14ac:dyDescent="0.25">
      <c r="A17" s="8">
        <v>13126</v>
      </c>
      <c r="B17" s="8" t="s">
        <v>2</v>
      </c>
      <c r="C17" s="8" t="s">
        <v>42</v>
      </c>
      <c r="D17" s="8" t="s">
        <v>41</v>
      </c>
      <c r="E17" s="8">
        <v>1</v>
      </c>
      <c r="F17" s="8">
        <f>LOG10(1.07*10^4)</f>
        <v>4.0293837776852097</v>
      </c>
    </row>
    <row r="18" spans="1:6" x14ac:dyDescent="0.25">
      <c r="A18" s="8">
        <v>13126</v>
      </c>
      <c r="B18" s="8" t="s">
        <v>2</v>
      </c>
      <c r="C18" s="8" t="s">
        <v>42</v>
      </c>
      <c r="D18" s="8" t="s">
        <v>41</v>
      </c>
      <c r="E18" s="8">
        <v>2</v>
      </c>
      <c r="F18" s="8">
        <f>LOG10(8.3*10^3)</f>
        <v>3.9190780923760737</v>
      </c>
    </row>
    <row r="19" spans="1:6" x14ac:dyDescent="0.25">
      <c r="A19" s="8">
        <v>13126</v>
      </c>
      <c r="B19" s="8" t="s">
        <v>2</v>
      </c>
      <c r="C19" s="8" t="s">
        <v>42</v>
      </c>
      <c r="D19" s="8" t="s">
        <v>41</v>
      </c>
      <c r="E19" s="8">
        <v>4</v>
      </c>
      <c r="F19" s="8">
        <f>LOG10(5*10^2)</f>
        <v>2.6989700043360187</v>
      </c>
    </row>
    <row r="20" spans="1:6" x14ac:dyDescent="0.25">
      <c r="A20" s="8">
        <v>13126</v>
      </c>
      <c r="B20" s="8" t="s">
        <v>2</v>
      </c>
      <c r="C20" s="8" t="s">
        <v>42</v>
      </c>
      <c r="D20" s="8" t="s">
        <v>41</v>
      </c>
      <c r="E20" s="8">
        <v>6</v>
      </c>
      <c r="F20" s="8">
        <f>LOG10(3*10^3)</f>
        <v>3.4771212547196626</v>
      </c>
    </row>
    <row r="21" spans="1:6" x14ac:dyDescent="0.25">
      <c r="A21" s="8">
        <v>13126</v>
      </c>
      <c r="B21" s="8" t="s">
        <v>2</v>
      </c>
      <c r="C21" s="8" t="s">
        <v>42</v>
      </c>
      <c r="D21" s="8" t="s">
        <v>41</v>
      </c>
      <c r="E21" s="8">
        <v>8</v>
      </c>
      <c r="F21" s="8">
        <f>LOG10(7*10^3)</f>
        <v>3.8450980400142569</v>
      </c>
    </row>
    <row r="22" spans="1:6" x14ac:dyDescent="0.25">
      <c r="A22" s="8">
        <v>13126</v>
      </c>
      <c r="B22" s="8" t="s">
        <v>2</v>
      </c>
      <c r="C22" s="8" t="s">
        <v>42</v>
      </c>
      <c r="D22" s="8" t="s">
        <v>41</v>
      </c>
      <c r="E22" s="8">
        <v>10</v>
      </c>
      <c r="F22" s="8">
        <f>LOG10(3.15*10^2)</f>
        <v>2.4983105537896004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5"/>
  <sheetViews>
    <sheetView zoomScale="80" zoomScaleNormal="80" workbookViewId="0"/>
  </sheetViews>
  <sheetFormatPr defaultRowHeight="15" x14ac:dyDescent="0.25"/>
  <cols>
    <col min="1" max="1" width="9.140625" style="8"/>
    <col min="2" max="3" width="9.85546875" style="8" customWidth="1"/>
    <col min="4" max="4" width="9.140625" style="8"/>
    <col min="5" max="5" width="9.140625" style="9"/>
    <col min="6" max="6" width="11.140625" style="9" bestFit="1" customWidth="1"/>
    <col min="7" max="16384" width="9.140625" style="9"/>
  </cols>
  <sheetData>
    <row r="1" spans="1:36" ht="24" customHeight="1" x14ac:dyDescent="0.25">
      <c r="A1" s="7" t="s">
        <v>6</v>
      </c>
      <c r="B1" s="5" t="s">
        <v>7</v>
      </c>
      <c r="C1" s="5" t="s">
        <v>8</v>
      </c>
      <c r="D1" s="7" t="s">
        <v>9</v>
      </c>
      <c r="E1" s="10"/>
      <c r="F1" s="2" t="s">
        <v>11</v>
      </c>
      <c r="G1" s="2" t="s">
        <v>12</v>
      </c>
      <c r="H1" s="2" t="s">
        <v>19</v>
      </c>
      <c r="I1" s="10"/>
      <c r="J1" s="10"/>
      <c r="K1" s="10"/>
      <c r="L1" s="10"/>
      <c r="M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x14ac:dyDescent="0.25">
      <c r="A2" s="6">
        <v>0</v>
      </c>
      <c r="B2" s="6">
        <v>5.4313637641589869</v>
      </c>
      <c r="C2" s="6">
        <f t="shared" ref="C2:C21" si="0">LOG((10^$G$5)/(1+10^$G$2)*(10^(-1*(A2/$G$3)^$G$4+$G$2)+10^(-1*(A2/$G$6)^$G$4)))</f>
        <v>5.2203202031410099</v>
      </c>
      <c r="D2" s="6">
        <f t="shared" ref="D2:D21" si="1" xml:space="preserve"> (B2 - C2)^2</f>
        <v>4.4539384647148607E-2</v>
      </c>
      <c r="E2" s="10"/>
      <c r="F2" s="10" t="s">
        <v>17</v>
      </c>
      <c r="G2" s="18">
        <v>1.3325623787996896</v>
      </c>
      <c r="H2" s="18">
        <v>0.25191008336980741</v>
      </c>
      <c r="I2" s="10"/>
      <c r="J2" s="10"/>
      <c r="K2" s="10"/>
      <c r="L2" s="4" t="s">
        <v>20</v>
      </c>
      <c r="M2" s="18">
        <v>8.9829119591853065E-2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x14ac:dyDescent="0.25">
      <c r="A3" s="6">
        <v>1</v>
      </c>
      <c r="B3" s="6">
        <v>5.0293837776852097</v>
      </c>
      <c r="C3" s="6">
        <f t="shared" si="0"/>
        <v>4.7343384335446874</v>
      </c>
      <c r="D3" s="6">
        <f t="shared" si="1"/>
        <v>8.7051755098999234E-2</v>
      </c>
      <c r="E3" s="10"/>
      <c r="F3" s="10" t="s">
        <v>16</v>
      </c>
      <c r="G3" s="18">
        <v>1.4315600190007658</v>
      </c>
      <c r="H3" s="18">
        <v>0.32283815240584124</v>
      </c>
      <c r="I3" s="10"/>
      <c r="J3" s="10"/>
      <c r="K3" s="10"/>
      <c r="L3" s="4" t="s">
        <v>23</v>
      </c>
      <c r="M3" s="18">
        <f>SQRT(M2)</f>
        <v>0.29971506400555353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spans="1:36" x14ac:dyDescent="0.25">
      <c r="A4" s="6">
        <v>2</v>
      </c>
      <c r="B4" s="6">
        <v>3.9190780923760737</v>
      </c>
      <c r="C4" s="6">
        <f t="shared" si="0"/>
        <v>3.9764036311056423</v>
      </c>
      <c r="D4" s="6">
        <f t="shared" si="1"/>
        <v>3.2862173906352673E-3</v>
      </c>
      <c r="E4" s="10"/>
      <c r="F4" s="10" t="s">
        <v>15</v>
      </c>
      <c r="G4" s="18">
        <v>1.7761463337587529</v>
      </c>
      <c r="H4" s="18">
        <v>0.83652530407929659</v>
      </c>
      <c r="I4" s="10"/>
      <c r="J4" s="10"/>
      <c r="K4" s="10"/>
      <c r="L4" s="4" t="s">
        <v>21</v>
      </c>
      <c r="M4" s="18">
        <v>0.83895063223532462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 x14ac:dyDescent="0.25">
      <c r="A5" s="6">
        <v>4</v>
      </c>
      <c r="B5" s="6">
        <v>3.568201724066995</v>
      </c>
      <c r="C5" s="6">
        <f t="shared" si="0"/>
        <v>3.7935848553060576</v>
      </c>
      <c r="D5" s="6">
        <f t="shared" si="1"/>
        <v>5.0797555847124524E-2</v>
      </c>
      <c r="E5" s="10"/>
      <c r="F5" s="10" t="s">
        <v>14</v>
      </c>
      <c r="G5" s="18">
        <v>5.220320203141009</v>
      </c>
      <c r="H5" s="18">
        <v>0.1785173400126546</v>
      </c>
      <c r="I5" s="10"/>
      <c r="J5" s="10"/>
      <c r="K5" s="10"/>
      <c r="L5" s="4" t="s">
        <v>22</v>
      </c>
      <c r="M5" s="18">
        <v>0.80875387577944802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x14ac:dyDescent="0.25">
      <c r="A6" s="6">
        <v>6</v>
      </c>
      <c r="B6" s="6">
        <v>3.6720978579357175</v>
      </c>
      <c r="C6" s="6">
        <f t="shared" si="0"/>
        <v>3.7150591714715651</v>
      </c>
      <c r="D6" s="6">
        <f t="shared" si="1"/>
        <v>1.8456744607253965E-3</v>
      </c>
      <c r="E6" s="10"/>
      <c r="F6" s="10" t="s">
        <v>18</v>
      </c>
      <c r="G6" s="18">
        <v>17.268210750230274</v>
      </c>
      <c r="H6" s="18">
        <v>9.308789946454187</v>
      </c>
      <c r="I6" s="10"/>
      <c r="J6" s="10"/>
      <c r="K6" s="10"/>
      <c r="L6" s="10"/>
      <c r="M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x14ac:dyDescent="0.25">
      <c r="A7" s="6">
        <v>8</v>
      </c>
      <c r="B7" s="6">
        <v>3.7520484478194387</v>
      </c>
      <c r="C7" s="6">
        <f t="shared" si="0"/>
        <v>3.6130501195215103</v>
      </c>
      <c r="D7" s="6">
        <f t="shared" si="1"/>
        <v>1.9320535269618671E-2</v>
      </c>
      <c r="E7" s="10"/>
      <c r="F7" s="2" t="s">
        <v>25</v>
      </c>
      <c r="G7" s="10"/>
      <c r="H7" s="10"/>
      <c r="I7" s="10"/>
      <c r="J7" s="10"/>
      <c r="K7" s="10"/>
      <c r="L7" s="10"/>
      <c r="M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 x14ac:dyDescent="0.25">
      <c r="A8" s="6">
        <v>10</v>
      </c>
      <c r="B8" s="6">
        <v>3.6180480967120925</v>
      </c>
      <c r="C8" s="6">
        <f t="shared" si="0"/>
        <v>3.4890412670775479</v>
      </c>
      <c r="D8" s="6">
        <f t="shared" si="1"/>
        <v>1.6642762092356409E-2</v>
      </c>
      <c r="E8" s="10"/>
      <c r="F8" s="10" t="s">
        <v>31</v>
      </c>
      <c r="G8" s="10"/>
      <c r="H8" s="10"/>
      <c r="I8" s="10"/>
      <c r="J8" s="10"/>
      <c r="K8" s="10"/>
      <c r="L8" s="10"/>
      <c r="M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x14ac:dyDescent="0.25">
      <c r="A9" s="6">
        <v>0</v>
      </c>
      <c r="B9" s="6">
        <v>5.2787536009528289</v>
      </c>
      <c r="C9" s="6">
        <f t="shared" si="0"/>
        <v>5.2203202031410099</v>
      </c>
      <c r="D9" s="6">
        <f t="shared" si="1"/>
        <v>3.4144619798342933E-3</v>
      </c>
      <c r="E9" s="10"/>
      <c r="F9" s="2" t="s">
        <v>28</v>
      </c>
      <c r="G9" s="10"/>
      <c r="H9" s="10"/>
      <c r="I9" s="10"/>
      <c r="J9" s="10"/>
      <c r="K9" s="10"/>
      <c r="L9" s="10"/>
      <c r="M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x14ac:dyDescent="0.25">
      <c r="A10" s="6">
        <v>1</v>
      </c>
      <c r="B10" s="6">
        <v>4.3010299956639813</v>
      </c>
      <c r="C10" s="6">
        <f t="shared" si="0"/>
        <v>4.7343384335446874</v>
      </c>
      <c r="D10" s="6">
        <f t="shared" si="1"/>
        <v>0.18775620233861778</v>
      </c>
      <c r="E10" s="10"/>
      <c r="F10" s="10" t="s">
        <v>32</v>
      </c>
      <c r="G10" s="10"/>
      <c r="H10" s="10"/>
      <c r="I10" s="10"/>
      <c r="J10" s="10"/>
      <c r="K10" s="10"/>
      <c r="L10" s="10"/>
      <c r="M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 x14ac:dyDescent="0.25">
      <c r="A11" s="6">
        <v>2</v>
      </c>
      <c r="B11" s="6">
        <v>4.5185139398778871</v>
      </c>
      <c r="C11" s="6">
        <f t="shared" si="0"/>
        <v>3.9764036311056423</v>
      </c>
      <c r="D11" s="6">
        <f t="shared" si="1"/>
        <v>0.29388358687713856</v>
      </c>
      <c r="E11" s="10"/>
      <c r="F11" s="2" t="s">
        <v>26</v>
      </c>
      <c r="G11" s="10"/>
      <c r="H11" s="10"/>
      <c r="I11" s="10"/>
      <c r="J11" s="10"/>
      <c r="K11" s="10"/>
      <c r="L11" s="10"/>
      <c r="M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36" x14ac:dyDescent="0.25">
      <c r="A12" s="6">
        <v>4</v>
      </c>
      <c r="B12" s="6">
        <v>3.8450980400142569</v>
      </c>
      <c r="C12" s="6">
        <f t="shared" si="0"/>
        <v>3.7935848553060576</v>
      </c>
      <c r="D12" s="6">
        <f t="shared" si="1"/>
        <v>2.6536081987810606E-3</v>
      </c>
      <c r="E12" s="10"/>
      <c r="F12" s="22" t="s">
        <v>33</v>
      </c>
      <c r="G12" s="23"/>
      <c r="H12" s="23"/>
      <c r="I12" s="23"/>
      <c r="J12" s="23"/>
      <c r="K12" s="23"/>
      <c r="L12" s="23"/>
      <c r="M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x14ac:dyDescent="0.25">
      <c r="A13" s="6">
        <v>6</v>
      </c>
      <c r="B13" s="6">
        <v>4.1038037209559572</v>
      </c>
      <c r="C13" s="6">
        <f t="shared" si="0"/>
        <v>3.7150591714715651</v>
      </c>
      <c r="D13" s="6">
        <f t="shared" si="1"/>
        <v>0.15112232475382303</v>
      </c>
      <c r="E13" s="10"/>
      <c r="F13" s="23"/>
      <c r="G13" s="23"/>
      <c r="H13" s="23"/>
      <c r="I13" s="23"/>
      <c r="J13" s="23"/>
      <c r="K13" s="23"/>
      <c r="L13" s="23"/>
      <c r="M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 x14ac:dyDescent="0.25">
      <c r="A14" s="6">
        <v>8</v>
      </c>
      <c r="B14" s="6">
        <v>3.6532125137753435</v>
      </c>
      <c r="C14" s="6">
        <f t="shared" si="0"/>
        <v>3.6130501195215103</v>
      </c>
      <c r="D14" s="6">
        <f t="shared" si="1"/>
        <v>1.6130179122003313E-3</v>
      </c>
      <c r="E14" s="10"/>
      <c r="F14" s="23"/>
      <c r="G14" s="23"/>
      <c r="H14" s="23"/>
      <c r="I14" s="23"/>
      <c r="J14" s="23"/>
      <c r="K14" s="23"/>
      <c r="L14" s="23"/>
      <c r="M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x14ac:dyDescent="0.25">
      <c r="A15" s="6">
        <v>10</v>
      </c>
      <c r="B15" s="6">
        <v>3.0606978403536118</v>
      </c>
      <c r="C15" s="6">
        <f t="shared" si="0"/>
        <v>3.4890412670775479</v>
      </c>
      <c r="D15" s="6">
        <f t="shared" si="1"/>
        <v>0.18347809121760403</v>
      </c>
      <c r="E15" s="10"/>
      <c r="F15" s="10"/>
      <c r="G15" s="10"/>
      <c r="H15" s="10"/>
      <c r="I15" s="10"/>
      <c r="J15" s="10"/>
      <c r="K15" s="10"/>
      <c r="L15" s="10"/>
      <c r="M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 x14ac:dyDescent="0.25">
      <c r="A16" s="6">
        <v>0</v>
      </c>
      <c r="B16" s="6">
        <v>4.9684829485539348</v>
      </c>
      <c r="C16" s="6">
        <f t="shared" si="0"/>
        <v>5.2203202031410099</v>
      </c>
      <c r="D16" s="6">
        <f t="shared" si="1"/>
        <v>6.3422002797955263E-2</v>
      </c>
      <c r="E16" s="10"/>
      <c r="F16" s="10"/>
      <c r="G16" s="10"/>
      <c r="H16" s="10"/>
      <c r="I16" s="10"/>
      <c r="J16" s="10"/>
      <c r="K16" s="10"/>
      <c r="L16" s="10"/>
      <c r="M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 x14ac:dyDescent="0.25">
      <c r="A17" s="6">
        <v>1</v>
      </c>
      <c r="B17" s="6">
        <v>4.8450980400142569</v>
      </c>
      <c r="C17" s="6">
        <f t="shared" si="0"/>
        <v>4.7343384335446874</v>
      </c>
      <c r="D17" s="6">
        <f t="shared" si="1"/>
        <v>1.2267690425293904E-2</v>
      </c>
      <c r="E17" s="10"/>
      <c r="F17" s="10"/>
      <c r="G17" s="10"/>
      <c r="H17" s="10"/>
      <c r="I17" s="10"/>
      <c r="J17" s="10"/>
      <c r="K17" s="10"/>
      <c r="L17" s="10"/>
      <c r="M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 x14ac:dyDescent="0.25">
      <c r="A18" s="6">
        <v>2</v>
      </c>
      <c r="B18" s="6">
        <v>3.5185139398778875</v>
      </c>
      <c r="C18" s="6">
        <f t="shared" si="0"/>
        <v>3.9764036311056423</v>
      </c>
      <c r="D18" s="6">
        <f t="shared" si="1"/>
        <v>0.20966296933264864</v>
      </c>
      <c r="E18" s="10"/>
      <c r="F18" s="10"/>
      <c r="G18" s="10"/>
      <c r="H18" s="10"/>
      <c r="I18" s="10"/>
      <c r="J18" s="10"/>
      <c r="K18" s="10"/>
      <c r="L18" s="10"/>
      <c r="M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x14ac:dyDescent="0.25">
      <c r="A19" s="6">
        <v>6</v>
      </c>
      <c r="B19" s="6">
        <v>3.4313637641589874</v>
      </c>
      <c r="C19" s="6">
        <f t="shared" si="0"/>
        <v>3.7150591714715651</v>
      </c>
      <c r="D19" s="6">
        <f t="shared" si="1"/>
        <v>8.0483084130249363E-2</v>
      </c>
      <c r="E19" s="10"/>
      <c r="F19" s="10"/>
      <c r="G19" s="10"/>
      <c r="H19" s="10"/>
      <c r="I19" s="10"/>
      <c r="J19" s="10"/>
      <c r="K19" s="10"/>
      <c r="L19" s="10"/>
      <c r="M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 x14ac:dyDescent="0.25">
      <c r="A20" s="6">
        <v>8</v>
      </c>
      <c r="B20" s="6">
        <v>3.6989700043360187</v>
      </c>
      <c r="C20" s="6">
        <f t="shared" si="0"/>
        <v>3.6130501195215103</v>
      </c>
      <c r="D20" s="6">
        <f t="shared" si="1"/>
        <v>7.382226606538392E-3</v>
      </c>
      <c r="E20" s="10"/>
      <c r="F20" s="10"/>
      <c r="G20" s="10"/>
      <c r="H20" s="10"/>
      <c r="I20" s="10"/>
      <c r="J20" s="10"/>
      <c r="K20" s="10"/>
      <c r="L20" s="10"/>
      <c r="M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6" x14ac:dyDescent="0.25">
      <c r="A21" s="6">
        <v>10</v>
      </c>
      <c r="B21" s="6">
        <v>3.6180480967120925</v>
      </c>
      <c r="C21" s="6">
        <f t="shared" si="0"/>
        <v>3.4890412670775479</v>
      </c>
      <c r="D21" s="6">
        <f t="shared" si="1"/>
        <v>1.6642762092356409E-2</v>
      </c>
      <c r="E21" s="10"/>
      <c r="F21" s="10"/>
      <c r="G21" s="10"/>
      <c r="H21" s="10"/>
      <c r="I21" s="10"/>
      <c r="J21" s="10"/>
      <c r="K21" s="10"/>
      <c r="L21" s="10"/>
      <c r="M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 x14ac:dyDescent="0.25">
      <c r="A22" s="7" t="s">
        <v>10</v>
      </c>
      <c r="B22" s="6"/>
      <c r="C22" s="6"/>
      <c r="D22" s="6">
        <f>SUM(D2:D21)</f>
        <v>1.437265913469649</v>
      </c>
      <c r="E22" s="10"/>
      <c r="F22" s="10"/>
      <c r="G22" s="10"/>
      <c r="H22" s="10"/>
      <c r="I22" s="10"/>
      <c r="J22" s="10"/>
      <c r="K22" s="10"/>
      <c r="L22" s="10"/>
      <c r="M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 x14ac:dyDescent="0.25">
      <c r="A23" s="6"/>
      <c r="B23" s="6"/>
      <c r="C23" s="6"/>
      <c r="D23" s="6"/>
      <c r="E23" s="10"/>
      <c r="F23" s="10"/>
      <c r="G23" s="10"/>
      <c r="H23" s="10"/>
      <c r="I23" s="10"/>
      <c r="J23" s="10"/>
      <c r="K23" s="10"/>
      <c r="L23" s="10"/>
      <c r="M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x14ac:dyDescent="0.25">
      <c r="A24" s="6"/>
      <c r="B24" s="6"/>
      <c r="C24" s="6"/>
      <c r="D24" s="6"/>
      <c r="E24" s="10"/>
      <c r="F24" s="10"/>
      <c r="G24" s="10"/>
      <c r="H24" s="10"/>
      <c r="I24" s="10"/>
      <c r="J24" s="10"/>
      <c r="K24" s="10"/>
      <c r="L24" s="10"/>
      <c r="M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 x14ac:dyDescent="0.25">
      <c r="A25" s="6">
        <v>0</v>
      </c>
      <c r="B25" s="6"/>
      <c r="C25" s="6">
        <f>LOG((10^$G$5)/(1+10^$G$2)*(10^(-1*(A25/$G$3)^$G$4+$G$2)+10^(-1*(A25/$G$6)^$G$4)))</f>
        <v>5.2203202031410099</v>
      </c>
      <c r="D25" s="6"/>
      <c r="E25" s="10"/>
      <c r="F25" s="10"/>
      <c r="G25" s="10"/>
      <c r="H25" s="10"/>
      <c r="I25" s="10"/>
      <c r="J25" s="10"/>
      <c r="K25" s="10"/>
      <c r="L25" s="10"/>
      <c r="M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spans="1:36" x14ac:dyDescent="0.25">
      <c r="A26" s="6">
        <v>0.1</v>
      </c>
      <c r="B26" s="6"/>
      <c r="C26" s="6">
        <f t="shared" ref="C26:C89" si="2">LOG((10^$G$5)/(1+10^$G$2)*(10^(-1*(A26/$G$3)^$G$4+$G$2)+10^(-1*(A26/$G$6)^$G$4)))</f>
        <v>5.2118591641201411</v>
      </c>
      <c r="D26" s="6"/>
      <c r="E26" s="10"/>
      <c r="F26" s="10"/>
      <c r="G26" s="10"/>
      <c r="H26" s="10"/>
      <c r="I26" s="10"/>
      <c r="J26" s="10"/>
      <c r="K26" s="10"/>
      <c r="L26" s="10"/>
      <c r="M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</row>
    <row r="27" spans="1:36" x14ac:dyDescent="0.25">
      <c r="A27" s="6">
        <v>0.2</v>
      </c>
      <c r="B27" s="6"/>
      <c r="C27" s="6">
        <f t="shared" si="2"/>
        <v>5.1913722138139029</v>
      </c>
      <c r="D27" s="6"/>
      <c r="E27" s="10"/>
      <c r="F27" s="10"/>
      <c r="G27" s="10"/>
      <c r="H27" s="10"/>
      <c r="I27" s="10"/>
      <c r="J27" s="10"/>
      <c r="K27" s="10"/>
      <c r="L27" s="10"/>
      <c r="M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 x14ac:dyDescent="0.25">
      <c r="A28" s="6">
        <v>0.30000000000000004</v>
      </c>
      <c r="B28" s="6"/>
      <c r="C28" s="6">
        <f t="shared" si="2"/>
        <v>5.1609400460840646</v>
      </c>
      <c r="D28" s="6"/>
      <c r="E28" s="10"/>
      <c r="F28" s="10"/>
      <c r="G28" s="10"/>
      <c r="H28" s="10"/>
      <c r="I28" s="10"/>
      <c r="J28" s="10"/>
      <c r="K28" s="10"/>
      <c r="L28" s="10"/>
      <c r="M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6" x14ac:dyDescent="0.25">
      <c r="A29" s="6">
        <v>0.4</v>
      </c>
      <c r="B29" s="6"/>
      <c r="C29" s="6">
        <f t="shared" si="2"/>
        <v>5.1215704566895823</v>
      </c>
      <c r="D29" s="6"/>
      <c r="E29" s="10"/>
      <c r="F29" s="10"/>
      <c r="G29" s="10"/>
      <c r="H29" s="10"/>
      <c r="I29" s="10"/>
      <c r="J29" s="10"/>
      <c r="K29" s="10"/>
      <c r="L29" s="10"/>
      <c r="M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36" x14ac:dyDescent="0.25">
      <c r="A30" s="6">
        <v>0.5</v>
      </c>
      <c r="B30" s="6"/>
      <c r="C30" s="6">
        <f t="shared" si="2"/>
        <v>5.0739865830420099</v>
      </c>
      <c r="D30" s="6"/>
      <c r="E30" s="10"/>
      <c r="F30" s="10"/>
      <c r="G30" s="10"/>
      <c r="H30" s="10"/>
      <c r="I30" s="10"/>
      <c r="J30" s="10"/>
      <c r="K30" s="10"/>
      <c r="L30" s="10"/>
      <c r="M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 x14ac:dyDescent="0.25">
      <c r="A31" s="6">
        <v>0.6</v>
      </c>
      <c r="B31" s="6"/>
      <c r="C31" s="6">
        <f t="shared" si="2"/>
        <v>5.018801885211511</v>
      </c>
      <c r="D31" s="6"/>
      <c r="E31" s="10"/>
      <c r="F31" s="10"/>
      <c r="G31" s="10"/>
      <c r="H31" s="10"/>
      <c r="I31" s="10"/>
      <c r="J31" s="10"/>
      <c r="K31" s="10"/>
      <c r="L31" s="10"/>
      <c r="M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x14ac:dyDescent="0.25">
      <c r="A32" s="6">
        <v>0.7</v>
      </c>
      <c r="B32" s="6"/>
      <c r="C32" s="6">
        <f t="shared" si="2"/>
        <v>4.9566000342523271</v>
      </c>
      <c r="D32" s="6"/>
      <c r="E32" s="10"/>
      <c r="F32" s="10"/>
      <c r="G32" s="10"/>
      <c r="H32" s="10"/>
      <c r="I32" s="10"/>
      <c r="J32" s="10"/>
      <c r="K32" s="10"/>
      <c r="L32" s="10"/>
      <c r="M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36" x14ac:dyDescent="0.25">
      <c r="A33" s="6">
        <v>0.79999999999999993</v>
      </c>
      <c r="B33" s="6"/>
      <c r="C33" s="6">
        <f t="shared" si="2"/>
        <v>4.8879874507370467</v>
      </c>
      <c r="D33" s="6"/>
      <c r="E33" s="10"/>
      <c r="F33" s="10"/>
      <c r="G33" s="10"/>
      <c r="H33" s="10"/>
      <c r="I33" s="10"/>
      <c r="J33" s="10"/>
      <c r="K33" s="10"/>
      <c r="L33" s="10"/>
      <c r="M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 x14ac:dyDescent="0.25">
      <c r="A34" s="6">
        <v>0.89999999999999991</v>
      </c>
      <c r="B34" s="6"/>
      <c r="C34" s="6">
        <f t="shared" si="2"/>
        <v>4.8136381492832916</v>
      </c>
      <c r="D34" s="6"/>
      <c r="E34" s="10"/>
      <c r="F34" s="10"/>
      <c r="G34" s="10"/>
      <c r="H34" s="10"/>
      <c r="I34" s="10"/>
      <c r="J34" s="10"/>
      <c r="K34" s="10"/>
      <c r="L34" s="10"/>
      <c r="M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 x14ac:dyDescent="0.25">
      <c r="A35" s="6">
        <v>0.99999999999999989</v>
      </c>
      <c r="B35" s="6"/>
      <c r="C35" s="6">
        <f t="shared" si="2"/>
        <v>4.7343384335446874</v>
      </c>
      <c r="D35" s="6"/>
      <c r="E35" s="10"/>
      <c r="F35" s="10"/>
      <c r="G35" s="10"/>
      <c r="H35" s="10"/>
      <c r="I35" s="10"/>
      <c r="J35" s="10"/>
      <c r="K35" s="10"/>
      <c r="L35" s="10"/>
      <c r="M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 x14ac:dyDescent="0.25">
      <c r="A36" s="6">
        <v>1.0999999999999999</v>
      </c>
      <c r="B36" s="6"/>
      <c r="C36" s="6">
        <f t="shared" si="2"/>
        <v>4.6510338947646446</v>
      </c>
      <c r="D36" s="6"/>
      <c r="E36" s="10"/>
      <c r="F36" s="10"/>
      <c r="G36" s="10"/>
      <c r="H36" s="10"/>
      <c r="I36" s="10"/>
      <c r="J36" s="10"/>
      <c r="K36" s="10"/>
      <c r="L36" s="10"/>
      <c r="M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 x14ac:dyDescent="0.25">
      <c r="A37" s="6">
        <v>1.2</v>
      </c>
      <c r="B37" s="6"/>
      <c r="C37" s="6">
        <f t="shared" si="2"/>
        <v>4.5648770027223087</v>
      </c>
      <c r="D37" s="6"/>
      <c r="E37" s="10"/>
      <c r="F37" s="10"/>
      <c r="G37" s="10"/>
      <c r="H37" s="10"/>
      <c r="I37" s="10"/>
      <c r="J37" s="10"/>
      <c r="K37" s="10"/>
      <c r="L37" s="10"/>
      <c r="M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 x14ac:dyDescent="0.25">
      <c r="A38" s="6">
        <v>1.3</v>
      </c>
      <c r="B38" s="6"/>
      <c r="C38" s="6">
        <f t="shared" si="2"/>
        <v>4.477268189640192</v>
      </c>
      <c r="D38" s="6"/>
      <c r="E38" s="10"/>
      <c r="F38" s="10"/>
      <c r="G38" s="10"/>
      <c r="H38" s="10"/>
      <c r="I38" s="10"/>
      <c r="J38" s="10"/>
      <c r="K38" s="10"/>
      <c r="L38" s="10"/>
      <c r="M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 x14ac:dyDescent="0.25">
      <c r="A39" s="6">
        <v>1.4000000000000001</v>
      </c>
      <c r="B39" s="6"/>
      <c r="C39" s="6">
        <f t="shared" si="2"/>
        <v>4.3898760242030113</v>
      </c>
      <c r="D39" s="6"/>
      <c r="E39" s="10"/>
      <c r="F39" s="10"/>
      <c r="G39" s="10"/>
      <c r="H39" s="10"/>
      <c r="I39" s="10"/>
      <c r="J39" s="10"/>
      <c r="K39" s="10"/>
      <c r="L39" s="10"/>
      <c r="M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 x14ac:dyDescent="0.25">
      <c r="A40" s="6">
        <v>1.5000000000000002</v>
      </c>
      <c r="B40" s="6"/>
      <c r="C40" s="6">
        <f t="shared" si="2"/>
        <v>4.3046141638585507</v>
      </c>
      <c r="D40" s="6"/>
      <c r="E40" s="10"/>
      <c r="F40" s="10"/>
      <c r="G40" s="10"/>
      <c r="H40" s="10"/>
      <c r="I40" s="10"/>
      <c r="J40" s="10"/>
      <c r="K40" s="10"/>
      <c r="L40" s="10"/>
      <c r="M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 x14ac:dyDescent="0.25">
      <c r="A41" s="6">
        <v>1.6000000000000003</v>
      </c>
      <c r="B41" s="6"/>
      <c r="C41" s="6">
        <f t="shared" si="2"/>
        <v>4.2235490902152621</v>
      </c>
      <c r="D41" s="6"/>
      <c r="E41" s="10"/>
      <c r="F41" s="10"/>
      <c r="G41" s="10"/>
      <c r="H41" s="10"/>
      <c r="I41" s="10"/>
      <c r="J41" s="10"/>
      <c r="K41" s="10"/>
      <c r="L41" s="10"/>
      <c r="M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 x14ac:dyDescent="0.25">
      <c r="A42" s="6">
        <v>1.7000000000000004</v>
      </c>
      <c r="B42" s="6"/>
      <c r="C42" s="6">
        <f t="shared" si="2"/>
        <v>4.1487218402280224</v>
      </c>
      <c r="D42" s="6"/>
      <c r="E42" s="10"/>
      <c r="F42" s="10"/>
      <c r="G42" s="10"/>
      <c r="H42" s="10"/>
      <c r="I42" s="10"/>
      <c r="J42" s="10"/>
      <c r="K42" s="10"/>
      <c r="L42" s="10"/>
      <c r="M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 x14ac:dyDescent="0.25">
      <c r="A43" s="6">
        <v>1.8000000000000005</v>
      </c>
      <c r="B43" s="6"/>
      <c r="C43" s="6">
        <f t="shared" si="2"/>
        <v>4.0818966780270651</v>
      </c>
      <c r="D43" s="6"/>
      <c r="E43" s="10"/>
      <c r="F43" s="10"/>
      <c r="G43" s="10"/>
      <c r="H43" s="10"/>
      <c r="I43" s="10"/>
      <c r="J43" s="10"/>
      <c r="K43" s="10"/>
      <c r="L43" s="10"/>
      <c r="M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spans="1:36" x14ac:dyDescent="0.25">
      <c r="A44" s="6">
        <v>1.9000000000000006</v>
      </c>
      <c r="B44" s="6"/>
      <c r="C44" s="6">
        <f t="shared" si="2"/>
        <v>4.0242946883367487</v>
      </c>
      <c r="D44" s="6"/>
      <c r="E44" s="10"/>
      <c r="F44" s="10"/>
      <c r="G44" s="10"/>
      <c r="H44" s="10"/>
      <c r="I44" s="10"/>
      <c r="J44" s="10"/>
      <c r="K44" s="10"/>
      <c r="L44" s="10"/>
      <c r="M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spans="1:36" x14ac:dyDescent="0.25">
      <c r="A45" s="6">
        <v>2.0000000000000004</v>
      </c>
      <c r="B45" s="6"/>
      <c r="C45" s="6">
        <f t="shared" si="2"/>
        <v>3.9764036311056419</v>
      </c>
      <c r="D45" s="6"/>
      <c r="E45" s="10"/>
      <c r="F45" s="10"/>
      <c r="G45" s="10"/>
      <c r="H45" s="10"/>
      <c r="I45" s="10"/>
      <c r="J45" s="10"/>
      <c r="K45" s="10"/>
      <c r="L45" s="10"/>
      <c r="M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 x14ac:dyDescent="0.25">
      <c r="A46" s="6">
        <v>2.1000000000000005</v>
      </c>
      <c r="B46" s="6"/>
      <c r="C46" s="6">
        <f t="shared" si="2"/>
        <v>3.937942545285614</v>
      </c>
      <c r="D46" s="6"/>
      <c r="E46" s="10"/>
      <c r="F46" s="10"/>
      <c r="G46" s="10"/>
      <c r="H46" s="10"/>
      <c r="I46" s="10"/>
      <c r="J46" s="10"/>
      <c r="K46" s="10"/>
      <c r="L46" s="10"/>
      <c r="M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 x14ac:dyDescent="0.25">
      <c r="A47" s="6">
        <v>2.2000000000000006</v>
      </c>
      <c r="B47" s="6"/>
      <c r="C47" s="6">
        <f t="shared" si="2"/>
        <v>3.907995474259859</v>
      </c>
      <c r="D47" s="6"/>
      <c r="E47" s="10"/>
      <c r="F47" s="10"/>
      <c r="G47" s="10"/>
      <c r="H47" s="10"/>
      <c r="I47" s="10"/>
      <c r="J47" s="10"/>
      <c r="K47" s="10"/>
      <c r="L47" s="10"/>
      <c r="M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 x14ac:dyDescent="0.25">
      <c r="A48" s="6">
        <v>2.3000000000000007</v>
      </c>
      <c r="B48" s="6"/>
      <c r="C48" s="6">
        <f t="shared" si="2"/>
        <v>3.8852545150182083</v>
      </c>
      <c r="D48" s="6"/>
      <c r="E48" s="10"/>
      <c r="F48" s="10"/>
      <c r="G48" s="10"/>
      <c r="H48" s="10"/>
      <c r="I48" s="10"/>
      <c r="J48" s="10"/>
      <c r="K48" s="10"/>
      <c r="L48" s="10"/>
      <c r="M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 x14ac:dyDescent="0.25">
      <c r="A49" s="6">
        <v>2.4000000000000008</v>
      </c>
      <c r="B49" s="6"/>
      <c r="C49" s="6">
        <f t="shared" si="2"/>
        <v>3.8682792969457238</v>
      </c>
      <c r="D49" s="6"/>
      <c r="E49" s="10"/>
      <c r="F49" s="10"/>
      <c r="G49" s="10"/>
      <c r="H49" s="10"/>
      <c r="I49" s="10"/>
      <c r="J49" s="10"/>
      <c r="K49" s="10"/>
      <c r="L49" s="10"/>
      <c r="M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 spans="1:36" x14ac:dyDescent="0.25">
      <c r="A50" s="6">
        <v>2.5000000000000009</v>
      </c>
      <c r="B50" s="6"/>
      <c r="C50" s="6">
        <f t="shared" si="2"/>
        <v>3.8557001427940407</v>
      </c>
      <c r="D50" s="6"/>
      <c r="E50" s="10"/>
      <c r="F50" s="10"/>
      <c r="G50" s="10"/>
      <c r="H50" s="10"/>
      <c r="I50" s="10"/>
      <c r="J50" s="10"/>
      <c r="K50" s="10"/>
      <c r="L50" s="10"/>
      <c r="M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</row>
    <row r="51" spans="1:36" x14ac:dyDescent="0.25">
      <c r="A51" s="6">
        <v>2.600000000000001</v>
      </c>
      <c r="B51" s="6"/>
      <c r="C51" s="6">
        <f t="shared" si="2"/>
        <v>3.8463370884077501</v>
      </c>
      <c r="D51" s="6"/>
      <c r="E51" s="10"/>
      <c r="F51" s="10"/>
      <c r="G51" s="10"/>
      <c r="H51" s="10"/>
      <c r="I51" s="10"/>
      <c r="J51" s="10"/>
      <c r="K51" s="10"/>
      <c r="L51" s="10"/>
      <c r="M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 spans="1:36" x14ac:dyDescent="0.25">
      <c r="A52" s="6">
        <v>2.7000000000000011</v>
      </c>
      <c r="B52" s="6"/>
      <c r="C52" s="6">
        <f t="shared" si="2"/>
        <v>3.8392437150462571</v>
      </c>
      <c r="D52" s="6"/>
      <c r="E52" s="10"/>
      <c r="F52" s="10"/>
      <c r="G52" s="10"/>
      <c r="H52" s="10"/>
      <c r="I52" s="10"/>
      <c r="J52" s="10"/>
      <c r="K52" s="10"/>
      <c r="L52" s="10"/>
      <c r="M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3" spans="1:36" x14ac:dyDescent="0.25">
      <c r="A53" s="6">
        <v>2.8000000000000012</v>
      </c>
      <c r="B53" s="6"/>
      <c r="C53" s="6">
        <f t="shared" si="2"/>
        <v>3.8337006808031187</v>
      </c>
      <c r="D53" s="6"/>
      <c r="E53" s="10"/>
      <c r="F53" s="10"/>
      <c r="G53" s="10"/>
      <c r="H53" s="10"/>
      <c r="I53" s="10"/>
      <c r="J53" s="10"/>
      <c r="K53" s="10"/>
      <c r="L53" s="10"/>
      <c r="M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 spans="1:36" x14ac:dyDescent="0.25">
      <c r="A54" s="6">
        <v>2.9000000000000012</v>
      </c>
      <c r="B54" s="6"/>
      <c r="C54" s="6">
        <f t="shared" si="2"/>
        <v>3.829183593549077</v>
      </c>
      <c r="D54" s="6"/>
      <c r="E54" s="10"/>
      <c r="F54" s="10"/>
      <c r="G54" s="10"/>
      <c r="H54" s="10"/>
      <c r="I54" s="10"/>
      <c r="J54" s="10"/>
      <c r="K54" s="10"/>
      <c r="L54" s="10"/>
      <c r="M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</row>
    <row r="55" spans="1:36" x14ac:dyDescent="0.25">
      <c r="A55" s="6">
        <v>3.0000000000000013</v>
      </c>
      <c r="B55" s="6"/>
      <c r="C55" s="6">
        <f t="shared" si="2"/>
        <v>3.8253227387471105</v>
      </c>
      <c r="D55" s="6"/>
      <c r="E55" s="10"/>
      <c r="F55" s="10"/>
      <c r="G55" s="10"/>
      <c r="H55" s="10"/>
      <c r="I55" s="10"/>
      <c r="J55" s="10"/>
      <c r="K55" s="10"/>
      <c r="L55" s="10"/>
      <c r="M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</row>
    <row r="56" spans="1:36" x14ac:dyDescent="0.25">
      <c r="A56" s="6">
        <v>3.1000000000000014</v>
      </c>
      <c r="B56" s="6"/>
      <c r="C56" s="6">
        <f t="shared" si="2"/>
        <v>3.8218645641849451</v>
      </c>
      <c r="D56" s="6"/>
      <c r="E56" s="10"/>
      <c r="F56" s="10"/>
      <c r="G56" s="10"/>
      <c r="H56" s="10"/>
      <c r="I56" s="10"/>
      <c r="J56" s="10"/>
      <c r="K56" s="10"/>
      <c r="L56" s="10"/>
      <c r="M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</row>
    <row r="57" spans="1:36" x14ac:dyDescent="0.25">
      <c r="A57" s="6">
        <v>3.2000000000000015</v>
      </c>
      <c r="B57" s="6"/>
      <c r="C57" s="6">
        <f t="shared" si="2"/>
        <v>3.8186392590205869</v>
      </c>
      <c r="D57" s="6"/>
      <c r="E57" s="10"/>
      <c r="F57" s="10"/>
      <c r="G57" s="10"/>
      <c r="H57" s="10"/>
      <c r="I57" s="10"/>
      <c r="J57" s="10"/>
      <c r="K57" s="10"/>
      <c r="L57" s="10"/>
      <c r="M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</row>
    <row r="58" spans="1:36" x14ac:dyDescent="0.25">
      <c r="A58" s="6">
        <v>3.3000000000000016</v>
      </c>
      <c r="B58" s="6"/>
      <c r="C58" s="6">
        <f t="shared" si="2"/>
        <v>3.8155354716906578</v>
      </c>
      <c r="D58" s="6"/>
      <c r="E58" s="10"/>
      <c r="F58" s="10"/>
      <c r="G58" s="10"/>
      <c r="H58" s="10"/>
      <c r="I58" s="10"/>
      <c r="J58" s="10"/>
      <c r="K58" s="10"/>
      <c r="L58" s="10"/>
      <c r="M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</row>
    <row r="59" spans="1:36" x14ac:dyDescent="0.25">
      <c r="A59" s="6">
        <v>3.4000000000000017</v>
      </c>
      <c r="B59" s="6"/>
      <c r="C59" s="6">
        <f t="shared" si="2"/>
        <v>3.8124815922679582</v>
      </c>
      <c r="D59" s="6"/>
      <c r="E59" s="10"/>
      <c r="F59" s="10"/>
      <c r="G59" s="10"/>
      <c r="H59" s="10"/>
      <c r="I59" s="10"/>
      <c r="J59" s="10"/>
      <c r="K59" s="10"/>
      <c r="L59" s="10"/>
      <c r="M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</row>
    <row r="60" spans="1:36" x14ac:dyDescent="0.25">
      <c r="A60" s="6">
        <v>3.5000000000000018</v>
      </c>
      <c r="B60" s="6"/>
      <c r="C60" s="6">
        <f t="shared" si="2"/>
        <v>3.809432417312471</v>
      </c>
      <c r="D60" s="6"/>
      <c r="E60" s="10"/>
      <c r="F60" s="10"/>
      <c r="G60" s="10"/>
      <c r="H60" s="10"/>
      <c r="I60" s="10"/>
      <c r="J60" s="10"/>
      <c r="K60" s="10"/>
      <c r="L60" s="10"/>
      <c r="M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</row>
    <row r="61" spans="1:36" x14ac:dyDescent="0.25">
      <c r="A61" s="6">
        <v>3.6000000000000019</v>
      </c>
      <c r="B61" s="6"/>
      <c r="C61" s="6">
        <f t="shared" si="2"/>
        <v>3.8063599343669354</v>
      </c>
      <c r="D61" s="6"/>
      <c r="E61" s="10"/>
      <c r="F61" s="10"/>
      <c r="G61" s="10"/>
      <c r="H61" s="10"/>
      <c r="I61" s="10"/>
      <c r="J61" s="10"/>
      <c r="K61" s="10"/>
      <c r="L61" s="10"/>
      <c r="M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</row>
    <row r="62" spans="1:36" x14ac:dyDescent="0.25">
      <c r="A62" s="6">
        <v>3.700000000000002</v>
      </c>
      <c r="B62" s="6"/>
      <c r="C62" s="6">
        <f t="shared" si="2"/>
        <v>3.8032471138389567</v>
      </c>
      <c r="D62" s="6"/>
      <c r="E62" s="10"/>
      <c r="F62" s="10"/>
      <c r="G62" s="10"/>
      <c r="H62" s="10"/>
      <c r="I62" s="10"/>
      <c r="J62" s="10"/>
      <c r="K62" s="10"/>
      <c r="L62" s="10"/>
      <c r="M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</row>
    <row r="63" spans="1:36" x14ac:dyDescent="0.25">
      <c r="A63" s="6">
        <v>3.800000000000002</v>
      </c>
      <c r="B63" s="6"/>
      <c r="C63" s="6">
        <f t="shared" si="2"/>
        <v>3.8000838192941933</v>
      </c>
      <c r="D63" s="6"/>
      <c r="E63" s="10"/>
      <c r="F63" s="10"/>
      <c r="G63" s="10"/>
      <c r="H63" s="10"/>
      <c r="I63" s="10"/>
      <c r="J63" s="10"/>
      <c r="K63" s="10"/>
      <c r="L63" s="10"/>
      <c r="M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</row>
    <row r="64" spans="1:36" x14ac:dyDescent="0.25">
      <c r="A64" s="6">
        <v>3.9000000000000021</v>
      </c>
      <c r="B64" s="6"/>
      <c r="C64" s="6">
        <f t="shared" si="2"/>
        <v>3.7968641673654635</v>
      </c>
      <c r="D64" s="6"/>
      <c r="E64" s="10"/>
      <c r="F64" s="10"/>
      <c r="G64" s="10"/>
      <c r="H64" s="10"/>
      <c r="I64" s="10"/>
      <c r="J64" s="10"/>
      <c r="K64" s="10"/>
      <c r="L64" s="10"/>
      <c r="M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</row>
    <row r="65" spans="1:36" x14ac:dyDescent="0.25">
      <c r="A65" s="6">
        <v>4.0000000000000018</v>
      </c>
      <c r="B65" s="6"/>
      <c r="C65" s="6">
        <f t="shared" si="2"/>
        <v>3.7935848553060576</v>
      </c>
      <c r="D65" s="6"/>
      <c r="E65" s="10"/>
      <c r="F65" s="10"/>
      <c r="G65" s="10"/>
      <c r="H65" s="10"/>
      <c r="I65" s="10"/>
      <c r="J65" s="10"/>
      <c r="K65" s="10"/>
      <c r="L65" s="10"/>
      <c r="M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</row>
    <row r="66" spans="1:36" x14ac:dyDescent="0.25">
      <c r="A66" s="6">
        <v>4.1000000000000014</v>
      </c>
      <c r="B66" s="6"/>
      <c r="C66" s="6">
        <f t="shared" si="2"/>
        <v>3.7902441203040844</v>
      </c>
      <c r="D66" s="6"/>
      <c r="E66" s="10"/>
      <c r="F66" s="10"/>
      <c r="G66" s="10"/>
      <c r="H66" s="10"/>
      <c r="I66" s="10"/>
      <c r="J66" s="10"/>
      <c r="K66" s="10"/>
      <c r="L66" s="10"/>
      <c r="M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</row>
    <row r="67" spans="1:36" x14ac:dyDescent="0.25">
      <c r="A67" s="6">
        <v>4.2000000000000011</v>
      </c>
      <c r="B67" s="6"/>
      <c r="C67" s="6">
        <f t="shared" si="2"/>
        <v>3.7868411029427116</v>
      </c>
      <c r="D67" s="6"/>
      <c r="E67" s="10"/>
      <c r="F67" s="10"/>
      <c r="G67" s="10"/>
      <c r="H67" s="10"/>
      <c r="I67" s="10"/>
      <c r="J67" s="10"/>
      <c r="K67" s="10"/>
      <c r="L67" s="10"/>
      <c r="M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</row>
    <row r="68" spans="1:36" x14ac:dyDescent="0.25">
      <c r="A68" s="6">
        <v>4.3000000000000007</v>
      </c>
      <c r="B68" s="6"/>
      <c r="C68" s="6">
        <f t="shared" si="2"/>
        <v>3.7833754642982131</v>
      </c>
      <c r="D68" s="6"/>
      <c r="E68" s="10"/>
      <c r="F68" s="10"/>
      <c r="G68" s="10"/>
      <c r="H68" s="10"/>
      <c r="I68" s="10"/>
      <c r="J68" s="10"/>
      <c r="K68" s="10"/>
      <c r="L68" s="10"/>
      <c r="M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</row>
    <row r="69" spans="1:36" x14ac:dyDescent="0.25">
      <c r="A69" s="6">
        <v>4.4000000000000004</v>
      </c>
      <c r="B69" s="6"/>
      <c r="C69" s="6">
        <f t="shared" si="2"/>
        <v>3.7798471593445582</v>
      </c>
      <c r="D69" s="6"/>
      <c r="E69" s="10"/>
      <c r="F69" s="10"/>
      <c r="G69" s="10"/>
      <c r="H69" s="10"/>
      <c r="I69" s="10"/>
      <c r="J69" s="10"/>
      <c r="K69" s="10"/>
      <c r="L69" s="10"/>
      <c r="M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</row>
    <row r="70" spans="1:36" x14ac:dyDescent="0.25">
      <c r="A70" s="6">
        <v>4.5</v>
      </c>
      <c r="B70" s="6"/>
      <c r="C70" s="6">
        <f t="shared" si="2"/>
        <v>3.7762563050100075</v>
      </c>
      <c r="D70" s="6"/>
      <c r="E70" s="10"/>
      <c r="F70" s="10"/>
      <c r="G70" s="10"/>
      <c r="H70" s="10"/>
      <c r="I70" s="10"/>
      <c r="J70" s="10"/>
      <c r="K70" s="10"/>
      <c r="L70" s="10"/>
      <c r="M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</row>
    <row r="71" spans="1:36" x14ac:dyDescent="0.25">
      <c r="A71" s="6">
        <v>4.5999999999999996</v>
      </c>
      <c r="B71" s="6"/>
      <c r="C71" s="6">
        <f t="shared" si="2"/>
        <v>3.7726031045855302</v>
      </c>
      <c r="D71" s="6"/>
      <c r="E71" s="10"/>
      <c r="F71" s="10"/>
      <c r="G71" s="10"/>
      <c r="H71" s="10"/>
      <c r="I71" s="10"/>
      <c r="J71" s="10"/>
      <c r="K71" s="10"/>
      <c r="L71" s="10"/>
      <c r="M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</row>
    <row r="72" spans="1:36" x14ac:dyDescent="0.25">
      <c r="A72" s="6">
        <v>4.6999999999999993</v>
      </c>
      <c r="B72" s="6"/>
      <c r="C72" s="6">
        <f t="shared" si="2"/>
        <v>3.768887805131925</v>
      </c>
      <c r="D72" s="6"/>
      <c r="E72" s="10"/>
      <c r="F72" s="10"/>
      <c r="G72" s="10"/>
      <c r="H72" s="10"/>
      <c r="I72" s="10"/>
      <c r="J72" s="10"/>
      <c r="K72" s="10"/>
      <c r="L72" s="10"/>
      <c r="M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</row>
    <row r="73" spans="1:36" x14ac:dyDescent="0.25">
      <c r="A73" s="6">
        <v>4.7999999999999989</v>
      </c>
      <c r="B73" s="6"/>
      <c r="C73" s="6">
        <f t="shared" si="2"/>
        <v>3.7651106738992994</v>
      </c>
      <c r="D73" s="6"/>
      <c r="E73" s="10"/>
      <c r="F73" s="10"/>
      <c r="G73" s="10"/>
      <c r="H73" s="10"/>
      <c r="I73" s="10"/>
      <c r="J73" s="10"/>
      <c r="K73" s="10"/>
      <c r="L73" s="10"/>
      <c r="M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</row>
    <row r="74" spans="1:36" x14ac:dyDescent="0.25">
      <c r="A74" s="6">
        <v>4.8999999999999986</v>
      </c>
      <c r="B74" s="6"/>
      <c r="C74" s="6">
        <f t="shared" si="2"/>
        <v>3.7612719855264256</v>
      </c>
      <c r="D74" s="6"/>
      <c r="E74" s="10"/>
      <c r="F74" s="10"/>
      <c r="G74" s="10"/>
      <c r="H74" s="10"/>
      <c r="I74" s="10"/>
      <c r="J74" s="10"/>
      <c r="K74" s="10"/>
      <c r="L74" s="10"/>
      <c r="M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</row>
    <row r="75" spans="1:36" x14ac:dyDescent="0.25">
      <c r="A75" s="6">
        <v>4.9999999999999982</v>
      </c>
      <c r="B75" s="6"/>
      <c r="C75" s="6">
        <f t="shared" si="2"/>
        <v>3.7573720152553087</v>
      </c>
      <c r="D75" s="6"/>
      <c r="E75" s="10"/>
      <c r="F75" s="10"/>
      <c r="G75" s="10"/>
      <c r="H75" s="10"/>
      <c r="I75" s="10"/>
      <c r="J75" s="10"/>
      <c r="K75" s="10"/>
      <c r="L75" s="10"/>
      <c r="M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</row>
    <row r="76" spans="1:36" x14ac:dyDescent="0.25">
      <c r="A76" s="6">
        <v>5.0999999999999979</v>
      </c>
      <c r="B76" s="6"/>
      <c r="C76" s="6">
        <f t="shared" si="2"/>
        <v>3.7534110354483858</v>
      </c>
      <c r="D76" s="6"/>
      <c r="E76" s="10"/>
      <c r="F76" s="10"/>
      <c r="G76" s="10"/>
      <c r="H76" s="10"/>
      <c r="I76" s="10"/>
      <c r="J76" s="10"/>
      <c r="K76" s="10"/>
      <c r="L76" s="10"/>
      <c r="M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</row>
    <row r="77" spans="1:36" x14ac:dyDescent="0.25">
      <c r="A77" s="6">
        <v>5.1999999999999975</v>
      </c>
      <c r="B77" s="6"/>
      <c r="C77" s="6">
        <f t="shared" si="2"/>
        <v>3.7493893138887993</v>
      </c>
      <c r="D77" s="6"/>
      <c r="E77" s="10"/>
      <c r="F77" s="10"/>
      <c r="G77" s="10"/>
      <c r="H77" s="10"/>
      <c r="I77" s="10"/>
      <c r="J77" s="10"/>
      <c r="K77" s="10"/>
      <c r="L77" s="10"/>
      <c r="M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</row>
    <row r="78" spans="1:36" x14ac:dyDescent="0.25">
      <c r="A78" s="6">
        <v>5.2999999999999972</v>
      </c>
      <c r="B78" s="6"/>
      <c r="C78" s="6">
        <f t="shared" si="2"/>
        <v>3.7453071130259667</v>
      </c>
      <c r="D78" s="6"/>
      <c r="E78" s="10"/>
      <c r="F78" s="10"/>
      <c r="G78" s="10"/>
      <c r="H78" s="10"/>
      <c r="I78" s="10"/>
      <c r="J78" s="10"/>
      <c r="K78" s="10"/>
      <c r="L78" s="10"/>
      <c r="M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</row>
    <row r="79" spans="1:36" x14ac:dyDescent="0.25">
      <c r="A79" s="6">
        <v>5.3999999999999968</v>
      </c>
      <c r="B79" s="6"/>
      <c r="C79" s="6">
        <f t="shared" si="2"/>
        <v>3.7411646897118249</v>
      </c>
      <c r="D79" s="6"/>
      <c r="E79" s="10"/>
      <c r="F79" s="10"/>
      <c r="G79" s="10"/>
      <c r="H79" s="10"/>
      <c r="I79" s="10"/>
      <c r="J79" s="10"/>
      <c r="K79" s="10"/>
      <c r="L79" s="10"/>
      <c r="M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</row>
    <row r="80" spans="1:36" x14ac:dyDescent="0.25">
      <c r="A80" s="6">
        <v>5.4999999999999964</v>
      </c>
      <c r="B80" s="6"/>
      <c r="C80" s="6">
        <f t="shared" si="2"/>
        <v>3.7369622951849664</v>
      </c>
      <c r="D80" s="6"/>
      <c r="E80" s="10"/>
      <c r="F80" s="10"/>
      <c r="G80" s="10"/>
      <c r="H80" s="10"/>
      <c r="I80" s="10"/>
      <c r="J80" s="10"/>
      <c r="K80" s="10"/>
      <c r="L80" s="10"/>
      <c r="M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</row>
    <row r="81" spans="1:36" x14ac:dyDescent="0.25">
      <c r="A81" s="6">
        <v>5.5999999999999961</v>
      </c>
      <c r="B81" s="6"/>
      <c r="C81" s="6">
        <f t="shared" si="2"/>
        <v>3.7327001751751352</v>
      </c>
      <c r="D81" s="6"/>
      <c r="E81" s="10"/>
      <c r="F81" s="10"/>
      <c r="G81" s="10"/>
      <c r="H81" s="10"/>
      <c r="I81" s="10"/>
      <c r="J81" s="10"/>
      <c r="K81" s="10"/>
      <c r="L81" s="10"/>
      <c r="M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</row>
    <row r="82" spans="1:36" x14ac:dyDescent="0.25">
      <c r="A82" s="6">
        <v>5.6999999999999957</v>
      </c>
      <c r="B82" s="6"/>
      <c r="C82" s="6">
        <f t="shared" si="2"/>
        <v>3.7283785700622802</v>
      </c>
      <c r="D82" s="6"/>
      <c r="E82" s="10"/>
      <c r="F82" s="10"/>
      <c r="G82" s="10"/>
      <c r="H82" s="10"/>
      <c r="I82" s="10"/>
      <c r="J82" s="10"/>
      <c r="K82" s="10"/>
      <c r="L82" s="10"/>
      <c r="M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</row>
    <row r="83" spans="1:36" x14ac:dyDescent="0.25">
      <c r="A83" s="6">
        <v>5.7999999999999954</v>
      </c>
      <c r="B83" s="6"/>
      <c r="C83" s="6">
        <f t="shared" si="2"/>
        <v>3.7239977150568873</v>
      </c>
      <c r="D83" s="6"/>
      <c r="E83" s="10"/>
      <c r="F83" s="10"/>
      <c r="G83" s="10"/>
      <c r="H83" s="10"/>
      <c r="I83" s="10"/>
      <c r="J83" s="10"/>
      <c r="K83" s="10"/>
      <c r="L83" s="10"/>
      <c r="M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</row>
    <row r="84" spans="1:36" x14ac:dyDescent="0.25">
      <c r="A84" s="6">
        <v>5.899999999999995</v>
      </c>
      <c r="B84" s="6"/>
      <c r="C84" s="6">
        <f t="shared" si="2"/>
        <v>3.7195578403852028</v>
      </c>
      <c r="D84" s="6"/>
      <c r="E84" s="10"/>
      <c r="F84" s="10"/>
      <c r="G84" s="10"/>
      <c r="H84" s="10"/>
      <c r="I84" s="10"/>
      <c r="J84" s="10"/>
      <c r="K84" s="10"/>
      <c r="L84" s="10"/>
      <c r="M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</row>
    <row r="85" spans="1:36" x14ac:dyDescent="0.25">
      <c r="A85" s="6">
        <v>5.9999999999999947</v>
      </c>
      <c r="B85" s="6"/>
      <c r="C85" s="6">
        <f t="shared" si="2"/>
        <v>3.7150591714715651</v>
      </c>
      <c r="D85" s="6"/>
      <c r="E85" s="10"/>
      <c r="F85" s="10"/>
      <c r="G85" s="10"/>
      <c r="H85" s="10"/>
      <c r="I85" s="10"/>
      <c r="J85" s="10"/>
      <c r="K85" s="10"/>
      <c r="L85" s="10"/>
      <c r="M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</row>
    <row r="86" spans="1:36" x14ac:dyDescent="0.25">
      <c r="A86" s="6">
        <v>6.0999999999999943</v>
      </c>
      <c r="B86" s="6"/>
      <c r="C86" s="6">
        <f t="shared" si="2"/>
        <v>3.7105019291143826</v>
      </c>
      <c r="D86" s="6"/>
      <c r="E86" s="10"/>
      <c r="F86" s="10"/>
      <c r="G86" s="10"/>
      <c r="H86" s="10"/>
      <c r="I86" s="10"/>
      <c r="J86" s="10"/>
      <c r="K86" s="10"/>
      <c r="L86" s="10"/>
      <c r="M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</row>
    <row r="87" spans="1:36" x14ac:dyDescent="0.25">
      <c r="A87" s="6">
        <v>6.199999999999994</v>
      </c>
      <c r="B87" s="6"/>
      <c r="C87" s="6">
        <f t="shared" si="2"/>
        <v>3.7058863296544131</v>
      </c>
      <c r="D87" s="6"/>
      <c r="E87" s="10"/>
      <c r="F87" s="10"/>
      <c r="G87" s="10"/>
      <c r="H87" s="10"/>
      <c r="I87" s="10"/>
      <c r="J87" s="10"/>
      <c r="K87" s="10"/>
      <c r="L87" s="10"/>
      <c r="M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</row>
    <row r="88" spans="1:36" x14ac:dyDescent="0.25">
      <c r="A88" s="6">
        <v>6.2999999999999936</v>
      </c>
      <c r="B88" s="6"/>
      <c r="C88" s="6">
        <f t="shared" si="2"/>
        <v>3.7012125851350164</v>
      </c>
      <c r="D88" s="6"/>
      <c r="E88" s="10"/>
      <c r="F88" s="10"/>
      <c r="G88" s="10"/>
      <c r="H88" s="10"/>
      <c r="I88" s="10"/>
      <c r="J88" s="10"/>
      <c r="K88" s="10"/>
      <c r="L88" s="10"/>
      <c r="M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</row>
    <row r="89" spans="1:36" x14ac:dyDescent="0.25">
      <c r="A89" s="6">
        <v>6.3999999999999932</v>
      </c>
      <c r="B89" s="6"/>
      <c r="C89" s="6">
        <f t="shared" si="2"/>
        <v>3.6964809034545127</v>
      </c>
      <c r="D89" s="6"/>
      <c r="E89" s="10"/>
      <c r="F89" s="10"/>
      <c r="G89" s="10"/>
      <c r="H89" s="10"/>
      <c r="I89" s="10"/>
      <c r="J89" s="10"/>
      <c r="K89" s="10"/>
      <c r="L89" s="10"/>
      <c r="M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</row>
    <row r="90" spans="1:36" x14ac:dyDescent="0.25">
      <c r="A90" s="6">
        <v>6.4999999999999929</v>
      </c>
      <c r="B90" s="6"/>
      <c r="C90" s="6">
        <f t="shared" ref="C90:C125" si="3">LOG((10^$G$5)/(1+10^$G$2)*(10^(-1*(A90/$G$3)^$G$4+$G$2)+10^(-1*(A90/$G$6)^$G$4)))</f>
        <v>3.6916914885109851</v>
      </c>
      <c r="D90" s="6"/>
      <c r="E90" s="10"/>
      <c r="F90" s="10"/>
      <c r="G90" s="10"/>
      <c r="H90" s="10"/>
      <c r="I90" s="10"/>
      <c r="J90" s="10"/>
      <c r="K90" s="10"/>
      <c r="L90" s="10"/>
      <c r="M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</row>
    <row r="91" spans="1:36" x14ac:dyDescent="0.25">
      <c r="A91" s="6">
        <v>6.5999999999999925</v>
      </c>
      <c r="B91" s="6"/>
      <c r="C91" s="6">
        <f t="shared" si="3"/>
        <v>3.6868445403399233</v>
      </c>
      <c r="D91" s="6"/>
      <c r="E91" s="10"/>
      <c r="F91" s="10"/>
      <c r="G91" s="10"/>
      <c r="H91" s="10"/>
      <c r="I91" s="10"/>
      <c r="J91" s="10"/>
      <c r="K91" s="10"/>
      <c r="L91" s="10"/>
      <c r="M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</row>
    <row r="92" spans="1:36" x14ac:dyDescent="0.25">
      <c r="A92" s="6">
        <v>6.6999999999999922</v>
      </c>
      <c r="B92" s="6"/>
      <c r="C92" s="6">
        <f t="shared" si="3"/>
        <v>3.6819402552451437</v>
      </c>
      <c r="D92" s="6"/>
      <c r="E92" s="10"/>
      <c r="F92" s="10"/>
      <c r="G92" s="10"/>
      <c r="H92" s="10"/>
      <c r="I92" s="10"/>
      <c r="J92" s="10"/>
      <c r="K92" s="10"/>
      <c r="L92" s="10"/>
      <c r="M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</row>
    <row r="93" spans="1:36" x14ac:dyDescent="0.25">
      <c r="A93" s="6">
        <v>6.7999999999999918</v>
      </c>
      <c r="B93" s="6"/>
      <c r="C93" s="6">
        <f t="shared" si="3"/>
        <v>3.6769788259233791</v>
      </c>
      <c r="D93" s="6"/>
      <c r="E93" s="10"/>
      <c r="F93" s="10"/>
      <c r="G93" s="10"/>
      <c r="H93" s="10"/>
      <c r="I93" s="10"/>
      <c r="J93" s="10"/>
      <c r="K93" s="10"/>
      <c r="L93" s="10"/>
      <c r="M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</row>
    <row r="94" spans="1:36" x14ac:dyDescent="0.25">
      <c r="A94" s="6">
        <v>6.8999999999999915</v>
      </c>
      <c r="B94" s="6"/>
      <c r="C94" s="6">
        <f t="shared" si="3"/>
        <v>3.6719604415829381</v>
      </c>
      <c r="D94" s="6"/>
      <c r="E94" s="10"/>
      <c r="F94" s="10"/>
      <c r="G94" s="10"/>
      <c r="H94" s="10"/>
      <c r="I94" s="10"/>
      <c r="J94" s="10"/>
      <c r="K94" s="10"/>
      <c r="L94" s="10"/>
      <c r="M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</row>
    <row r="95" spans="1:36" x14ac:dyDescent="0.25">
      <c r="A95" s="6">
        <v>6.9999999999999911</v>
      </c>
      <c r="B95" s="6"/>
      <c r="C95" s="6">
        <f t="shared" si="3"/>
        <v>3.6668852880567862</v>
      </c>
      <c r="D95" s="6"/>
      <c r="E95" s="10"/>
      <c r="F95" s="10"/>
      <c r="G95" s="10"/>
      <c r="H95" s="10"/>
      <c r="I95" s="10"/>
      <c r="J95" s="10"/>
      <c r="K95" s="10"/>
      <c r="L95" s="10"/>
      <c r="M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</row>
    <row r="96" spans="1:36" x14ac:dyDescent="0.25">
      <c r="A96" s="6">
        <v>7.0999999999999908</v>
      </c>
      <c r="B96" s="6"/>
      <c r="C96" s="6">
        <f t="shared" si="3"/>
        <v>3.6617535479103926</v>
      </c>
      <c r="D96" s="6"/>
      <c r="E96" s="10"/>
      <c r="F96" s="10"/>
      <c r="G96" s="10"/>
      <c r="H96" s="10"/>
      <c r="I96" s="10"/>
      <c r="J96" s="10"/>
      <c r="K96" s="10"/>
      <c r="L96" s="10"/>
      <c r="M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</row>
    <row r="97" spans="1:36" x14ac:dyDescent="0.25">
      <c r="A97" s="6">
        <v>7.1999999999999904</v>
      </c>
      <c r="B97" s="6"/>
      <c r="C97" s="6">
        <f t="shared" si="3"/>
        <v>3.6565654005446548</v>
      </c>
      <c r="D97" s="6"/>
      <c r="E97" s="10"/>
      <c r="F97" s="10"/>
      <c r="G97" s="10"/>
      <c r="H97" s="10"/>
      <c r="I97" s="10"/>
      <c r="J97" s="10"/>
      <c r="K97" s="10"/>
      <c r="L97" s="10"/>
      <c r="M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</row>
    <row r="98" spans="1:36" x14ac:dyDescent="0.25">
      <c r="A98" s="6">
        <v>7.2999999999999901</v>
      </c>
      <c r="B98" s="6"/>
      <c r="C98" s="6">
        <f t="shared" si="3"/>
        <v>3.6513210222941814</v>
      </c>
      <c r="D98" s="6"/>
      <c r="E98" s="10"/>
      <c r="F98" s="10"/>
      <c r="G98" s="10"/>
      <c r="H98" s="10"/>
      <c r="I98" s="10"/>
      <c r="J98" s="10"/>
      <c r="K98" s="10"/>
      <c r="L98" s="10"/>
      <c r="M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</row>
    <row r="99" spans="1:36" x14ac:dyDescent="0.25">
      <c r="A99" s="6">
        <v>7.3999999999999897</v>
      </c>
      <c r="B99" s="6"/>
      <c r="C99" s="6">
        <f t="shared" si="3"/>
        <v>3.6460205865212192</v>
      </c>
      <c r="D99" s="6"/>
      <c r="E99" s="10"/>
      <c r="F99" s="10"/>
      <c r="G99" s="10"/>
      <c r="H99" s="10"/>
      <c r="I99" s="10"/>
      <c r="J99" s="10"/>
      <c r="K99" s="10"/>
      <c r="L99" s="10"/>
      <c r="M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</row>
    <row r="100" spans="1:36" x14ac:dyDescent="0.25">
      <c r="A100" s="6">
        <v>7.4999999999999893</v>
      </c>
      <c r="B100" s="6"/>
      <c r="C100" s="6">
        <f t="shared" si="3"/>
        <v>3.640664263705462</v>
      </c>
      <c r="D100" s="6"/>
      <c r="E100" s="10"/>
      <c r="F100" s="10"/>
      <c r="G100" s="10"/>
      <c r="H100" s="10"/>
      <c r="I100" s="10"/>
      <c r="J100" s="10"/>
      <c r="K100" s="10"/>
      <c r="L100" s="10"/>
      <c r="M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</row>
    <row r="101" spans="1:36" x14ac:dyDescent="0.25">
      <c r="A101" s="6">
        <v>7.599999999999989</v>
      </c>
      <c r="B101" s="6"/>
      <c r="C101" s="6">
        <f t="shared" si="3"/>
        <v>3.635252221529977</v>
      </c>
      <c r="D101" s="6"/>
      <c r="E101" s="10"/>
      <c r="F101" s="10"/>
      <c r="G101" s="10"/>
      <c r="H101" s="10"/>
      <c r="I101" s="10"/>
      <c r="J101" s="10"/>
      <c r="K101" s="10"/>
      <c r="L101" s="10"/>
      <c r="M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</row>
    <row r="102" spans="1:36" x14ac:dyDescent="0.25">
      <c r="A102" s="6">
        <v>7.6999999999999886</v>
      </c>
      <c r="B102" s="6"/>
      <c r="C102" s="6">
        <f t="shared" si="3"/>
        <v>3.6297846249634689</v>
      </c>
      <c r="D102" s="6"/>
      <c r="E102" s="10"/>
      <c r="F102" s="10"/>
      <c r="G102" s="10"/>
      <c r="H102" s="10"/>
      <c r="I102" s="10"/>
      <c r="J102" s="10"/>
      <c r="K102" s="10"/>
      <c r="L102" s="10"/>
      <c r="M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</row>
    <row r="103" spans="1:36" x14ac:dyDescent="0.25">
      <c r="A103" s="6">
        <v>7.7999999999999883</v>
      </c>
      <c r="B103" s="6"/>
      <c r="C103" s="6">
        <f t="shared" si="3"/>
        <v>3.624261636339082</v>
      </c>
      <c r="D103" s="6"/>
      <c r="E103" s="10"/>
      <c r="F103" s="10"/>
      <c r="G103" s="10"/>
      <c r="H103" s="10"/>
      <c r="I103" s="10"/>
      <c r="J103" s="10"/>
      <c r="K103" s="10"/>
      <c r="L103" s="10"/>
      <c r="M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</row>
    <row r="104" spans="1:36" x14ac:dyDescent="0.25">
      <c r="A104" s="6">
        <v>7.8999999999999879</v>
      </c>
      <c r="B104" s="6"/>
      <c r="C104" s="6">
        <f t="shared" si="3"/>
        <v>3.6186834154299268</v>
      </c>
      <c r="D104" s="6"/>
      <c r="E104" s="10"/>
      <c r="F104" s="10"/>
      <c r="G104" s="10"/>
      <c r="H104" s="10"/>
      <c r="I104" s="10"/>
      <c r="J104" s="10"/>
      <c r="K104" s="10"/>
      <c r="L104" s="10"/>
      <c r="M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</row>
    <row r="105" spans="1:36" x14ac:dyDescent="0.25">
      <c r="A105" s="6">
        <v>7.9999999999999876</v>
      </c>
      <c r="B105" s="6"/>
      <c r="C105" s="6">
        <f t="shared" si="3"/>
        <v>3.6130501195215108</v>
      </c>
      <c r="D105" s="6"/>
      <c r="E105" s="10"/>
      <c r="F105" s="10"/>
      <c r="G105" s="10"/>
      <c r="H105" s="10"/>
      <c r="I105" s="10"/>
      <c r="J105" s="10"/>
      <c r="K105" s="10"/>
      <c r="L105" s="10"/>
      <c r="M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</row>
    <row r="106" spans="1:36" x14ac:dyDescent="0.25">
      <c r="A106" s="6">
        <v>8.0999999999999872</v>
      </c>
      <c r="B106" s="6"/>
      <c r="C106" s="6">
        <f t="shared" si="3"/>
        <v>3.6073619034812334</v>
      </c>
      <c r="D106" s="6"/>
      <c r="E106" s="10"/>
      <c r="F106" s="10"/>
      <c r="G106" s="10"/>
      <c r="H106" s="10"/>
      <c r="I106" s="10"/>
      <c r="J106" s="10"/>
      <c r="K106" s="10"/>
      <c r="L106" s="10"/>
      <c r="M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</row>
    <row r="107" spans="1:36" x14ac:dyDescent="0.25">
      <c r="A107" s="6">
        <v>8.1999999999999869</v>
      </c>
      <c r="B107" s="6"/>
      <c r="C107" s="6">
        <f t="shared" si="3"/>
        <v>3.6016189198251034</v>
      </c>
      <c r="D107" s="6"/>
      <c r="E107" s="10"/>
      <c r="F107" s="10"/>
      <c r="G107" s="10"/>
      <c r="H107" s="10"/>
      <c r="I107" s="10"/>
      <c r="J107" s="10"/>
      <c r="K107" s="10"/>
      <c r="L107" s="10"/>
      <c r="M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</row>
    <row r="108" spans="1:36" x14ac:dyDescent="0.25">
      <c r="A108" s="6">
        <v>8.2999999999999865</v>
      </c>
      <c r="B108" s="6"/>
      <c r="C108" s="6">
        <f t="shared" si="3"/>
        <v>3.5958213187818191</v>
      </c>
      <c r="D108" s="6"/>
      <c r="E108" s="10"/>
      <c r="F108" s="10"/>
      <c r="G108" s="10"/>
      <c r="H108" s="10"/>
      <c r="I108" s="10"/>
      <c r="J108" s="10"/>
      <c r="K108" s="10"/>
      <c r="L108" s="10"/>
      <c r="M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</row>
    <row r="109" spans="1:36" x14ac:dyDescent="0.25">
      <c r="A109" s="6">
        <v>8.3999999999999861</v>
      </c>
      <c r="B109" s="6"/>
      <c r="C109" s="6">
        <f t="shared" si="3"/>
        <v>3.5899692483543477</v>
      </c>
      <c r="D109" s="6"/>
      <c r="E109" s="10"/>
      <c r="F109" s="10"/>
      <c r="G109" s="10"/>
      <c r="H109" s="10"/>
      <c r="I109" s="10"/>
      <c r="J109" s="10"/>
      <c r="K109" s="10"/>
      <c r="L109" s="10"/>
      <c r="M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</row>
    <row r="110" spans="1:36" x14ac:dyDescent="0.25">
      <c r="A110" s="6">
        <v>8.4999999999999858</v>
      </c>
      <c r="B110" s="6"/>
      <c r="C110" s="6">
        <f t="shared" si="3"/>
        <v>3.5840628543791309</v>
      </c>
      <c r="D110" s="6"/>
      <c r="E110" s="10"/>
      <c r="F110" s="10"/>
      <c r="G110" s="10"/>
      <c r="H110" s="10"/>
      <c r="I110" s="10"/>
      <c r="J110" s="10"/>
      <c r="K110" s="10"/>
      <c r="L110" s="10"/>
      <c r="M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</row>
    <row r="111" spans="1:36" x14ac:dyDescent="0.25">
      <c r="A111" s="6">
        <v>8.5999999999999854</v>
      </c>
      <c r="B111" s="6"/>
      <c r="C111" s="6">
        <f t="shared" si="3"/>
        <v>3.5781022805830331</v>
      </c>
      <c r="D111" s="6"/>
      <c r="E111" s="10"/>
      <c r="F111" s="10"/>
      <c r="G111" s="10"/>
      <c r="H111" s="10"/>
      <c r="I111" s="10"/>
      <c r="J111" s="10"/>
      <c r="K111" s="10"/>
      <c r="L111" s="10"/>
      <c r="M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</row>
    <row r="112" spans="1:36" x14ac:dyDescent="0.25">
      <c r="A112" s="6">
        <v>8.6999999999999851</v>
      </c>
      <c r="B112" s="6"/>
      <c r="C112" s="6">
        <f t="shared" si="3"/>
        <v>3.5720876686381455</v>
      </c>
      <c r="D112" s="6"/>
      <c r="E112" s="10"/>
      <c r="F112" s="10"/>
      <c r="G112" s="10"/>
      <c r="H112" s="10"/>
      <c r="I112" s="10"/>
      <c r="J112" s="10"/>
      <c r="K112" s="10"/>
      <c r="L112" s="10"/>
      <c r="M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</row>
    <row r="113" spans="1:36" x14ac:dyDescent="0.25">
      <c r="A113" s="6">
        <v>8.7999999999999847</v>
      </c>
      <c r="B113" s="6"/>
      <c r="C113" s="6">
        <f t="shared" si="3"/>
        <v>3.5660191582145506</v>
      </c>
      <c r="D113" s="6"/>
      <c r="E113" s="10"/>
      <c r="F113" s="10"/>
      <c r="G113" s="10"/>
      <c r="H113" s="10"/>
      <c r="I113" s="10"/>
      <c r="J113" s="10"/>
      <c r="K113" s="10"/>
      <c r="L113" s="10"/>
      <c r="M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</row>
    <row r="114" spans="1:36" x14ac:dyDescent="0.25">
      <c r="A114" s="6">
        <v>8.8999999999999844</v>
      </c>
      <c r="B114" s="6"/>
      <c r="C114" s="6">
        <f t="shared" si="3"/>
        <v>3.5598968870311429</v>
      </c>
      <c r="D114" s="6"/>
      <c r="E114" s="10"/>
      <c r="F114" s="10"/>
      <c r="G114" s="10"/>
      <c r="H114" s="10"/>
      <c r="I114" s="10"/>
      <c r="J114" s="10"/>
      <c r="K114" s="10"/>
      <c r="L114" s="10"/>
      <c r="M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</row>
    <row r="115" spans="1:36" x14ac:dyDescent="0.25">
      <c r="A115" s="6">
        <v>8.999999999999984</v>
      </c>
      <c r="B115" s="6"/>
      <c r="C115" s="6">
        <f t="shared" si="3"/>
        <v>3.5537209909046026</v>
      </c>
      <c r="D115" s="6"/>
      <c r="E115" s="10"/>
      <c r="F115" s="10"/>
      <c r="G115" s="10"/>
      <c r="H115" s="10"/>
      <c r="I115" s="10"/>
      <c r="J115" s="10"/>
      <c r="K115" s="10"/>
      <c r="L115" s="10"/>
      <c r="M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</row>
    <row r="116" spans="1:36" x14ac:dyDescent="0.25">
      <c r="A116" s="6">
        <v>9.0999999999999837</v>
      </c>
      <c r="B116" s="6"/>
      <c r="C116" s="6">
        <f t="shared" si="3"/>
        <v>3.5474916037966051</v>
      </c>
      <c r="D116" s="6"/>
      <c r="E116" s="10"/>
      <c r="F116" s="10"/>
      <c r="G116" s="10"/>
      <c r="H116" s="10"/>
      <c r="I116" s="10"/>
      <c r="J116" s="10"/>
      <c r="K116" s="10"/>
      <c r="L116" s="10"/>
      <c r="M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</row>
    <row r="117" spans="1:36" x14ac:dyDescent="0.25">
      <c r="A117" s="6">
        <v>9.1999999999999833</v>
      </c>
      <c r="B117" s="6"/>
      <c r="C117" s="6">
        <f t="shared" si="3"/>
        <v>3.5412088578593544</v>
      </c>
      <c r="D117" s="6"/>
      <c r="E117" s="10"/>
      <c r="F117" s="10"/>
      <c r="G117" s="10"/>
      <c r="H117" s="10"/>
      <c r="I117" s="10"/>
      <c r="J117" s="10"/>
      <c r="K117" s="10"/>
      <c r="L117" s="10"/>
      <c r="M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</row>
    <row r="118" spans="1:36" x14ac:dyDescent="0.25">
      <c r="A118" s="6">
        <v>9.2999999999999829</v>
      </c>
      <c r="B118" s="6"/>
      <c r="C118" s="6">
        <f t="shared" si="3"/>
        <v>3.5348728834795091</v>
      </c>
      <c r="D118" s="6"/>
      <c r="E118" s="10"/>
      <c r="F118" s="10"/>
      <c r="G118" s="10"/>
      <c r="H118" s="10"/>
      <c r="I118" s="10"/>
      <c r="J118" s="10"/>
      <c r="K118" s="10"/>
      <c r="L118" s="10"/>
      <c r="M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</row>
    <row r="119" spans="1:36" x14ac:dyDescent="0.25">
      <c r="A119" s="6">
        <v>9.3999999999999826</v>
      </c>
      <c r="B119" s="6"/>
      <c r="C119" s="6">
        <f t="shared" si="3"/>
        <v>3.5284838093205826</v>
      </c>
      <c r="D119" s="6"/>
      <c r="E119" s="10"/>
      <c r="F119" s="10"/>
      <c r="G119" s="10"/>
      <c r="H119" s="10"/>
      <c r="I119" s="10"/>
      <c r="J119" s="10"/>
      <c r="K119" s="10"/>
      <c r="L119" s="10"/>
      <c r="M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</row>
    <row r="120" spans="1:36" x14ac:dyDescent="0.25">
      <c r="A120" s="6">
        <v>9.4999999999999822</v>
      </c>
      <c r="B120" s="6"/>
      <c r="C120" s="6">
        <f t="shared" si="3"/>
        <v>3.5220417623638811</v>
      </c>
      <c r="D120" s="6"/>
      <c r="E120" s="10"/>
      <c r="F120" s="10"/>
      <c r="G120" s="10"/>
      <c r="H120" s="10"/>
      <c r="I120" s="10"/>
      <c r="J120" s="10"/>
      <c r="K120" s="10"/>
      <c r="L120" s="10"/>
      <c r="M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</row>
    <row r="121" spans="1:36" x14ac:dyDescent="0.25">
      <c r="A121" s="6">
        <v>9.5999999999999819</v>
      </c>
      <c r="B121" s="6"/>
      <c r="C121" s="6">
        <f t="shared" si="3"/>
        <v>3.5155468679480473</v>
      </c>
      <c r="D121" s="6"/>
      <c r="E121" s="10"/>
      <c r="F121" s="10"/>
      <c r="G121" s="10"/>
      <c r="H121" s="10"/>
      <c r="I121" s="10"/>
      <c r="J121" s="10"/>
      <c r="K121" s="10"/>
      <c r="L121" s="10"/>
      <c r="M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</row>
    <row r="122" spans="1:36" x14ac:dyDescent="0.25">
      <c r="A122" s="6">
        <v>9.6999999999999815</v>
      </c>
      <c r="B122" s="6"/>
      <c r="C122" s="6">
        <f t="shared" si="3"/>
        <v>3.5089992498072724</v>
      </c>
      <c r="D122" s="6"/>
      <c r="E122" s="10"/>
      <c r="F122" s="10"/>
      <c r="G122" s="10"/>
      <c r="H122" s="10"/>
      <c r="I122" s="10"/>
      <c r="J122" s="10"/>
      <c r="K122" s="10"/>
      <c r="L122" s="10"/>
      <c r="M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</row>
    <row r="123" spans="1:36" x14ac:dyDescent="0.25">
      <c r="A123" s="6">
        <v>9.7999999999999812</v>
      </c>
      <c r="B123" s="6"/>
      <c r="C123" s="6">
        <f t="shared" si="3"/>
        <v>3.5023990301082275</v>
      </c>
      <c r="D123" s="6"/>
      <c r="E123" s="10"/>
      <c r="F123" s="10"/>
      <c r="G123" s="10"/>
      <c r="H123" s="10"/>
      <c r="I123" s="10"/>
      <c r="J123" s="10"/>
      <c r="K123" s="10"/>
      <c r="L123" s="10"/>
      <c r="M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</row>
    <row r="124" spans="1:36" x14ac:dyDescent="0.25">
      <c r="A124" s="6">
        <v>9.8999999999999808</v>
      </c>
      <c r="B124" s="6"/>
      <c r="C124" s="6">
        <f t="shared" si="3"/>
        <v>3.4957463294857822</v>
      </c>
      <c r="D124" s="6"/>
      <c r="E124" s="10"/>
      <c r="F124" s="10"/>
      <c r="G124" s="10"/>
      <c r="H124" s="10"/>
      <c r="I124" s="10"/>
      <c r="J124" s="10"/>
      <c r="K124" s="10"/>
      <c r="L124" s="10"/>
      <c r="M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</row>
    <row r="125" spans="1:36" x14ac:dyDescent="0.25">
      <c r="A125" s="6">
        <v>9.9999999999999805</v>
      </c>
      <c r="B125" s="6"/>
      <c r="C125" s="6">
        <f t="shared" si="3"/>
        <v>3.4890412670775492</v>
      </c>
      <c r="D125" s="6"/>
      <c r="E125" s="10"/>
      <c r="F125" s="10"/>
      <c r="G125" s="10"/>
      <c r="H125" s="10"/>
      <c r="I125" s="10"/>
      <c r="J125" s="10"/>
      <c r="K125" s="10"/>
      <c r="L125" s="10"/>
      <c r="M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</row>
  </sheetData>
  <mergeCells count="1">
    <mergeCell ref="F12:L1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0" zoomScaleNormal="80" workbookViewId="0"/>
  </sheetViews>
  <sheetFormatPr defaultRowHeight="15" x14ac:dyDescent="0.25"/>
  <cols>
    <col min="1" max="1" width="9.140625" style="8"/>
    <col min="2" max="2" width="10.5703125" style="8" bestFit="1" customWidth="1"/>
    <col min="3" max="3" width="11.28515625" style="8" bestFit="1" customWidth="1"/>
    <col min="4" max="4" width="13.7109375" style="8" bestFit="1" customWidth="1"/>
    <col min="5" max="6" width="9.140625" style="8"/>
    <col min="7" max="16384" width="9.140625" style="9"/>
  </cols>
  <sheetData>
    <row r="1" spans="1:6" x14ac:dyDescent="0.25">
      <c r="A1" s="8" t="s">
        <v>4</v>
      </c>
      <c r="B1" s="8" t="s">
        <v>5</v>
      </c>
      <c r="C1" s="8" t="s">
        <v>38</v>
      </c>
      <c r="D1" s="8" t="s">
        <v>39</v>
      </c>
      <c r="E1" s="8" t="s">
        <v>6</v>
      </c>
      <c r="F1" s="8" t="s">
        <v>3</v>
      </c>
    </row>
    <row r="2" spans="1:6" x14ac:dyDescent="0.25">
      <c r="A2" s="8">
        <v>13136</v>
      </c>
      <c r="B2" s="8" t="s">
        <v>0</v>
      </c>
      <c r="C2" s="8" t="s">
        <v>40</v>
      </c>
      <c r="D2" s="8" t="s">
        <v>41</v>
      </c>
      <c r="E2" s="8">
        <v>0</v>
      </c>
      <c r="F2" s="8">
        <f>LOG10(2.7*10^5)</f>
        <v>5.4313637641589869</v>
      </c>
    </row>
    <row r="3" spans="1:6" x14ac:dyDescent="0.25">
      <c r="A3" s="8">
        <v>13136</v>
      </c>
      <c r="B3" s="8" t="s">
        <v>0</v>
      </c>
      <c r="C3" s="8" t="s">
        <v>40</v>
      </c>
      <c r="D3" s="8" t="s">
        <v>41</v>
      </c>
      <c r="E3" s="8">
        <v>1</v>
      </c>
      <c r="F3" s="8">
        <f>LOG10(1.07*10^5)</f>
        <v>5.0293837776852097</v>
      </c>
    </row>
    <row r="4" spans="1:6" x14ac:dyDescent="0.25">
      <c r="A4" s="8">
        <v>13136</v>
      </c>
      <c r="B4" s="8" t="s">
        <v>0</v>
      </c>
      <c r="C4" s="8" t="s">
        <v>40</v>
      </c>
      <c r="D4" s="8" t="s">
        <v>41</v>
      </c>
      <c r="E4" s="8">
        <v>2</v>
      </c>
      <c r="F4" s="8">
        <f>LOG10(8.3*10^3)</f>
        <v>3.9190780923760737</v>
      </c>
    </row>
    <row r="5" spans="1:6" x14ac:dyDescent="0.25">
      <c r="A5" s="8">
        <v>13136</v>
      </c>
      <c r="B5" s="8" t="s">
        <v>0</v>
      </c>
      <c r="C5" s="8" t="s">
        <v>40</v>
      </c>
      <c r="D5" s="8" t="s">
        <v>41</v>
      </c>
      <c r="E5" s="8">
        <v>4</v>
      </c>
      <c r="F5" s="8">
        <f>LOG10(3.7*10^3)</f>
        <v>3.568201724066995</v>
      </c>
    </row>
    <row r="6" spans="1:6" x14ac:dyDescent="0.25">
      <c r="A6" s="8">
        <v>13136</v>
      </c>
      <c r="B6" s="8" t="s">
        <v>0</v>
      </c>
      <c r="C6" s="8" t="s">
        <v>40</v>
      </c>
      <c r="D6" s="8" t="s">
        <v>41</v>
      </c>
      <c r="E6" s="8">
        <v>6</v>
      </c>
      <c r="F6" s="8">
        <f>LOG10(4.7*10^3)</f>
        <v>3.6720978579357175</v>
      </c>
    </row>
    <row r="7" spans="1:6" x14ac:dyDescent="0.25">
      <c r="A7" s="8">
        <v>13136</v>
      </c>
      <c r="B7" s="8" t="s">
        <v>0</v>
      </c>
      <c r="C7" s="8" t="s">
        <v>40</v>
      </c>
      <c r="D7" s="8" t="s">
        <v>41</v>
      </c>
      <c r="E7" s="8">
        <v>8</v>
      </c>
      <c r="F7" s="8">
        <f>LOG10(5.65*10^3)</f>
        <v>3.7520484478194387</v>
      </c>
    </row>
    <row r="8" spans="1:6" x14ac:dyDescent="0.25">
      <c r="A8" s="8">
        <v>13136</v>
      </c>
      <c r="B8" s="8" t="s">
        <v>0</v>
      </c>
      <c r="C8" s="8" t="s">
        <v>40</v>
      </c>
      <c r="D8" s="8" t="s">
        <v>41</v>
      </c>
      <c r="E8" s="8">
        <v>10</v>
      </c>
      <c r="F8" s="8">
        <f>LOG10(4.15*10^3)</f>
        <v>3.6180480967120925</v>
      </c>
    </row>
    <row r="9" spans="1:6" x14ac:dyDescent="0.25">
      <c r="A9" s="8">
        <v>13136</v>
      </c>
      <c r="B9" s="8" t="s">
        <v>1</v>
      </c>
      <c r="C9" s="8" t="s">
        <v>40</v>
      </c>
      <c r="D9" s="8" t="s">
        <v>41</v>
      </c>
      <c r="E9" s="8">
        <v>0</v>
      </c>
      <c r="F9" s="8">
        <f>LOG10(1.9*10^5)</f>
        <v>5.2787536009528289</v>
      </c>
    </row>
    <row r="10" spans="1:6" x14ac:dyDescent="0.25">
      <c r="A10" s="8">
        <v>13136</v>
      </c>
      <c r="B10" s="8" t="s">
        <v>1</v>
      </c>
      <c r="C10" s="8" t="s">
        <v>40</v>
      </c>
      <c r="D10" s="8" t="s">
        <v>41</v>
      </c>
      <c r="E10" s="8">
        <v>1</v>
      </c>
      <c r="F10" s="8">
        <f>LOG10(2*10^4)</f>
        <v>4.3010299956639813</v>
      </c>
    </row>
    <row r="11" spans="1:6" x14ac:dyDescent="0.25">
      <c r="A11" s="8">
        <v>13136</v>
      </c>
      <c r="B11" s="8" t="s">
        <v>1</v>
      </c>
      <c r="C11" s="8" t="s">
        <v>40</v>
      </c>
      <c r="D11" s="8" t="s">
        <v>41</v>
      </c>
      <c r="E11" s="8">
        <v>2</v>
      </c>
      <c r="F11" s="8">
        <f>LOG10(3.3*10^4)</f>
        <v>4.5185139398778871</v>
      </c>
    </row>
    <row r="12" spans="1:6" x14ac:dyDescent="0.25">
      <c r="A12" s="8">
        <v>13136</v>
      </c>
      <c r="B12" s="8" t="s">
        <v>1</v>
      </c>
      <c r="C12" s="8" t="s">
        <v>40</v>
      </c>
      <c r="D12" s="8" t="s">
        <v>41</v>
      </c>
      <c r="E12" s="8">
        <v>4</v>
      </c>
      <c r="F12" s="8">
        <f>LOG10(7*10^3)</f>
        <v>3.8450980400142569</v>
      </c>
    </row>
    <row r="13" spans="1:6" x14ac:dyDescent="0.25">
      <c r="A13" s="8">
        <v>13136</v>
      </c>
      <c r="B13" s="8" t="s">
        <v>1</v>
      </c>
      <c r="C13" s="8" t="s">
        <v>40</v>
      </c>
      <c r="D13" s="8" t="s">
        <v>41</v>
      </c>
      <c r="E13" s="8">
        <v>6</v>
      </c>
      <c r="F13" s="8">
        <f>LOG10(1.27*10^4)</f>
        <v>4.1038037209559572</v>
      </c>
    </row>
    <row r="14" spans="1:6" x14ac:dyDescent="0.25">
      <c r="A14" s="8">
        <v>13136</v>
      </c>
      <c r="B14" s="8" t="s">
        <v>1</v>
      </c>
      <c r="C14" s="8" t="s">
        <v>40</v>
      </c>
      <c r="D14" s="8" t="s">
        <v>41</v>
      </c>
      <c r="E14" s="8">
        <v>8</v>
      </c>
      <c r="F14" s="8">
        <f>LOG10(4.5*10^3)</f>
        <v>3.6532125137753435</v>
      </c>
    </row>
    <row r="15" spans="1:6" x14ac:dyDescent="0.25">
      <c r="A15" s="8">
        <v>13136</v>
      </c>
      <c r="B15" s="8" t="s">
        <v>1</v>
      </c>
      <c r="C15" s="8" t="s">
        <v>40</v>
      </c>
      <c r="D15" s="8" t="s">
        <v>41</v>
      </c>
      <c r="E15" s="8">
        <v>10</v>
      </c>
      <c r="F15" s="8">
        <f>LOG10(1.15*10^3)</f>
        <v>3.0606978403536118</v>
      </c>
    </row>
    <row r="16" spans="1:6" x14ac:dyDescent="0.25">
      <c r="A16" s="8">
        <v>13136</v>
      </c>
      <c r="B16" s="8" t="s">
        <v>2</v>
      </c>
      <c r="C16" s="8" t="s">
        <v>40</v>
      </c>
      <c r="D16" s="8" t="s">
        <v>41</v>
      </c>
      <c r="E16" s="8">
        <v>0</v>
      </c>
      <c r="F16" s="8">
        <f>LOG10(9.3*10^4)</f>
        <v>4.9684829485539348</v>
      </c>
    </row>
    <row r="17" spans="1:6" x14ac:dyDescent="0.25">
      <c r="A17" s="8">
        <v>13136</v>
      </c>
      <c r="B17" s="8" t="s">
        <v>2</v>
      </c>
      <c r="C17" s="8" t="s">
        <v>40</v>
      </c>
      <c r="D17" s="8" t="s">
        <v>41</v>
      </c>
      <c r="E17" s="8">
        <v>1</v>
      </c>
      <c r="F17" s="8">
        <f>LOG10(7*10^4)</f>
        <v>4.8450980400142569</v>
      </c>
    </row>
    <row r="18" spans="1:6" x14ac:dyDescent="0.25">
      <c r="A18" s="8">
        <v>13136</v>
      </c>
      <c r="B18" s="8" t="s">
        <v>2</v>
      </c>
      <c r="C18" s="8" t="s">
        <v>40</v>
      </c>
      <c r="D18" s="8" t="s">
        <v>41</v>
      </c>
      <c r="E18" s="8">
        <v>2</v>
      </c>
      <c r="F18" s="8">
        <f>LOG10(3.3*10^3)</f>
        <v>3.5185139398778875</v>
      </c>
    </row>
    <row r="19" spans="1:6" x14ac:dyDescent="0.25">
      <c r="A19" s="8">
        <v>13136</v>
      </c>
      <c r="B19" s="8" t="s">
        <v>2</v>
      </c>
      <c r="C19" s="8" t="s">
        <v>40</v>
      </c>
      <c r="D19" s="8" t="s">
        <v>41</v>
      </c>
      <c r="E19" s="8">
        <v>6</v>
      </c>
      <c r="F19" s="8">
        <f>LOG10(2.7*10^3)</f>
        <v>3.4313637641589874</v>
      </c>
    </row>
    <row r="20" spans="1:6" x14ac:dyDescent="0.25">
      <c r="A20" s="8">
        <v>13136</v>
      </c>
      <c r="B20" s="8" t="s">
        <v>2</v>
      </c>
      <c r="C20" s="8" t="s">
        <v>40</v>
      </c>
      <c r="D20" s="8" t="s">
        <v>41</v>
      </c>
      <c r="E20" s="8">
        <v>8</v>
      </c>
      <c r="F20" s="8">
        <f>LOG10(5*10^3)</f>
        <v>3.6989700043360187</v>
      </c>
    </row>
    <row r="21" spans="1:6" x14ac:dyDescent="0.25">
      <c r="A21" s="8">
        <v>13136</v>
      </c>
      <c r="B21" s="8" t="s">
        <v>2</v>
      </c>
      <c r="C21" s="8" t="s">
        <v>40</v>
      </c>
      <c r="D21" s="8" t="s">
        <v>41</v>
      </c>
      <c r="E21" s="8">
        <v>10</v>
      </c>
      <c r="F21" s="8">
        <f>LOG10(4.15*10^3)</f>
        <v>3.6180480967120925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6"/>
  <sheetViews>
    <sheetView zoomScale="80" zoomScaleNormal="80" workbookViewId="0"/>
  </sheetViews>
  <sheetFormatPr defaultRowHeight="15" x14ac:dyDescent="0.25"/>
  <cols>
    <col min="1" max="1" width="9.140625" style="8"/>
    <col min="2" max="3" width="9.85546875" style="8" customWidth="1"/>
    <col min="4" max="4" width="9.140625" style="8"/>
    <col min="5" max="5" width="9.140625" style="9"/>
    <col min="6" max="6" width="11.140625" style="9" bestFit="1" customWidth="1"/>
    <col min="7" max="16384" width="9.140625" style="9"/>
  </cols>
  <sheetData>
    <row r="1" spans="1:37" ht="24" customHeight="1" x14ac:dyDescent="0.25">
      <c r="A1" s="7" t="s">
        <v>6</v>
      </c>
      <c r="B1" s="5" t="s">
        <v>7</v>
      </c>
      <c r="C1" s="5" t="s">
        <v>8</v>
      </c>
      <c r="D1" s="7" t="s">
        <v>9</v>
      </c>
      <c r="E1" s="10"/>
      <c r="F1" s="2" t="s">
        <v>11</v>
      </c>
      <c r="G1" s="2" t="s">
        <v>12</v>
      </c>
      <c r="H1" s="2" t="s">
        <v>19</v>
      </c>
      <c r="I1" s="10"/>
      <c r="J1" s="10"/>
      <c r="K1" s="10"/>
      <c r="L1" s="10"/>
      <c r="M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37" x14ac:dyDescent="0.25">
      <c r="A2" s="6">
        <v>0</v>
      </c>
      <c r="B2" s="6">
        <v>5.3010299956639813</v>
      </c>
      <c r="C2" s="6">
        <f t="shared" ref="C2:C22" si="0">LOG((10^$G$5)/(1+10^$G$2)*(10^(-1*(A2/$G$3)^$G$4+$G$2)+10^(-1*(A2/$G$6)^$G$4)))</f>
        <v>5.4403594206715269</v>
      </c>
      <c r="D2" s="6">
        <f t="shared" ref="D2:D22" si="1" xml:space="preserve"> (B2 - C2)^2</f>
        <v>1.9412688672933283E-2</v>
      </c>
      <c r="E2" s="10"/>
      <c r="F2" s="10" t="s">
        <v>17</v>
      </c>
      <c r="G2" s="18">
        <v>1.5455435474522299</v>
      </c>
      <c r="H2" s="18">
        <v>0.43446841442637563</v>
      </c>
      <c r="I2" s="10"/>
      <c r="J2" s="10"/>
      <c r="K2" s="10"/>
      <c r="L2" s="4" t="s">
        <v>20</v>
      </c>
      <c r="M2" s="18">
        <v>0.21983809772425247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x14ac:dyDescent="0.25">
      <c r="A3" s="6">
        <v>1</v>
      </c>
      <c r="B3" s="6">
        <v>4.9395192526186182</v>
      </c>
      <c r="C3" s="6">
        <f t="shared" si="0"/>
        <v>4.6854748355751061</v>
      </c>
      <c r="D3" s="6">
        <f t="shared" si="1"/>
        <v>6.4538565830977904E-2</v>
      </c>
      <c r="E3" s="10"/>
      <c r="F3" s="10" t="s">
        <v>16</v>
      </c>
      <c r="G3" s="18">
        <v>1.1807499086022468</v>
      </c>
      <c r="H3" s="18">
        <v>0.44547815295350585</v>
      </c>
      <c r="I3" s="10"/>
      <c r="J3" s="10"/>
      <c r="K3" s="10"/>
      <c r="L3" s="4" t="s">
        <v>23</v>
      </c>
      <c r="M3" s="18">
        <f>SQRT(M2)</f>
        <v>0.46886895581201843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x14ac:dyDescent="0.25">
      <c r="A4" s="6">
        <v>2</v>
      </c>
      <c r="B4" s="6">
        <v>3.8450980400142569</v>
      </c>
      <c r="C4" s="6">
        <f t="shared" si="0"/>
        <v>3.9413594374172591</v>
      </c>
      <c r="D4" s="6">
        <f t="shared" si="1"/>
        <v>9.2662566299787207E-3</v>
      </c>
      <c r="E4" s="10"/>
      <c r="F4" s="10" t="s">
        <v>15</v>
      </c>
      <c r="G4" s="18">
        <v>1.2789406723681223</v>
      </c>
      <c r="H4" s="18">
        <v>0.80487194087420089</v>
      </c>
      <c r="I4" s="10"/>
      <c r="J4" s="10"/>
      <c r="K4" s="10"/>
      <c r="L4" s="4" t="s">
        <v>21</v>
      </c>
      <c r="M4" s="18">
        <v>0.79170201440323162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 x14ac:dyDescent="0.25">
      <c r="A5" s="6">
        <v>4</v>
      </c>
      <c r="B5" s="6">
        <v>3.8864907251724818</v>
      </c>
      <c r="C5" s="6">
        <f t="shared" si="0"/>
        <v>3.5960964698330304</v>
      </c>
      <c r="D5" s="6">
        <f t="shared" si="1"/>
        <v>8.4328823534154496E-2</v>
      </c>
      <c r="E5" s="10"/>
      <c r="F5" s="10" t="s">
        <v>14</v>
      </c>
      <c r="G5" s="18">
        <v>5.440359420671526</v>
      </c>
      <c r="H5" s="18">
        <v>0.27859543283259225</v>
      </c>
      <c r="I5" s="10"/>
      <c r="J5" s="10"/>
      <c r="K5" s="10"/>
      <c r="L5" s="4" t="s">
        <v>22</v>
      </c>
      <c r="M5" s="18">
        <v>0.75494354635674299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pans="1:37" x14ac:dyDescent="0.25">
      <c r="A6" s="6">
        <v>6</v>
      </c>
      <c r="B6" s="6">
        <v>3.7242758696007892</v>
      </c>
      <c r="C6" s="6">
        <f t="shared" si="0"/>
        <v>3.4005097558934092</v>
      </c>
      <c r="D6" s="6">
        <f t="shared" si="1"/>
        <v>0.10482449638518009</v>
      </c>
      <c r="E6" s="10"/>
      <c r="F6" s="10" t="s">
        <v>18</v>
      </c>
      <c r="G6" s="18">
        <v>10.614418797553663</v>
      </c>
      <c r="H6" s="18">
        <v>4.6360654661503276</v>
      </c>
      <c r="I6" s="10"/>
      <c r="J6" s="10"/>
      <c r="K6" s="10"/>
      <c r="L6" s="10"/>
      <c r="M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x14ac:dyDescent="0.25">
      <c r="A7" s="6">
        <v>8</v>
      </c>
      <c r="B7" s="6">
        <v>2.6180480967120929</v>
      </c>
      <c r="C7" s="6">
        <f t="shared" si="0"/>
        <v>3.1860950803362171</v>
      </c>
      <c r="D7" s="6">
        <f t="shared" si="1"/>
        <v>0.32267737560446602</v>
      </c>
      <c r="E7" s="10"/>
      <c r="F7" s="2" t="s">
        <v>25</v>
      </c>
      <c r="G7" s="10"/>
      <c r="H7" s="10"/>
      <c r="I7" s="10"/>
      <c r="J7" s="10"/>
      <c r="K7" s="10"/>
      <c r="L7" s="10"/>
      <c r="M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1:37" x14ac:dyDescent="0.25">
      <c r="A8" s="6">
        <v>10</v>
      </c>
      <c r="B8" s="6">
        <v>2.6020599913279625</v>
      </c>
      <c r="C8" s="6">
        <f t="shared" si="0"/>
        <v>2.9560479881656185</v>
      </c>
      <c r="D8" s="6">
        <f t="shared" si="1"/>
        <v>0.12530750190513637</v>
      </c>
      <c r="E8" s="10"/>
      <c r="F8" s="10" t="s">
        <v>31</v>
      </c>
      <c r="G8" s="10"/>
      <c r="H8" s="10"/>
      <c r="I8" s="10"/>
      <c r="J8" s="10"/>
      <c r="K8" s="10"/>
      <c r="L8" s="10"/>
      <c r="M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1:37" x14ac:dyDescent="0.25">
      <c r="A9" s="6">
        <v>0</v>
      </c>
      <c r="B9" s="6">
        <v>5.6020599913279625</v>
      </c>
      <c r="C9" s="6">
        <f t="shared" si="0"/>
        <v>5.4403594206715269</v>
      </c>
      <c r="D9" s="6">
        <f t="shared" si="1"/>
        <v>2.6147074550616926E-2</v>
      </c>
      <c r="E9" s="10"/>
      <c r="F9" s="2" t="s">
        <v>28</v>
      </c>
      <c r="G9" s="10"/>
      <c r="H9" s="10"/>
      <c r="I9" s="10"/>
      <c r="J9" s="10"/>
      <c r="K9" s="10"/>
      <c r="L9" s="10"/>
      <c r="M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1:37" x14ac:dyDescent="0.25">
      <c r="A10" s="6">
        <v>1</v>
      </c>
      <c r="B10" s="6">
        <v>4.0899051114393981</v>
      </c>
      <c r="C10" s="6">
        <f t="shared" si="0"/>
        <v>4.6854748355751061</v>
      </c>
      <c r="D10" s="6">
        <f t="shared" si="1"/>
        <v>0.35470329630708342</v>
      </c>
      <c r="E10" s="10"/>
      <c r="F10" s="10" t="s">
        <v>32</v>
      </c>
      <c r="G10" s="10"/>
      <c r="H10" s="10"/>
      <c r="I10" s="10"/>
      <c r="J10" s="10"/>
      <c r="K10" s="10"/>
      <c r="L10" s="10"/>
      <c r="M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spans="1:37" x14ac:dyDescent="0.25">
      <c r="A11" s="6">
        <v>2</v>
      </c>
      <c r="B11" s="6">
        <v>4.1846914308175984</v>
      </c>
      <c r="C11" s="6">
        <f t="shared" si="0"/>
        <v>3.9413594374172591</v>
      </c>
      <c r="D11" s="6">
        <f t="shared" si="1"/>
        <v>5.9210459012182762E-2</v>
      </c>
      <c r="E11" s="10"/>
      <c r="F11" s="2" t="s">
        <v>26</v>
      </c>
      <c r="G11" s="10"/>
      <c r="H11" s="10"/>
      <c r="I11" s="10"/>
      <c r="J11" s="10"/>
      <c r="K11" s="10"/>
      <c r="L11" s="10"/>
      <c r="M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x14ac:dyDescent="0.25">
      <c r="A12" s="6">
        <v>4</v>
      </c>
      <c r="B12" s="6">
        <v>2.9542425094393248</v>
      </c>
      <c r="C12" s="6">
        <f t="shared" si="0"/>
        <v>3.5960964698330304</v>
      </c>
      <c r="D12" s="6">
        <f t="shared" si="1"/>
        <v>0.4119765064730847</v>
      </c>
      <c r="E12" s="10"/>
      <c r="F12" s="22" t="s">
        <v>33</v>
      </c>
      <c r="G12" s="23"/>
      <c r="H12" s="23"/>
      <c r="I12" s="23"/>
      <c r="J12" s="23"/>
      <c r="K12" s="23"/>
      <c r="L12" s="23"/>
      <c r="M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x14ac:dyDescent="0.25">
      <c r="A13" s="6">
        <v>6</v>
      </c>
      <c r="B13" s="6">
        <v>3.1846914308175989</v>
      </c>
      <c r="C13" s="6">
        <f t="shared" si="0"/>
        <v>3.4005097558934092</v>
      </c>
      <c r="D13" s="6">
        <f t="shared" si="1"/>
        <v>4.6577549438528147E-2</v>
      </c>
      <c r="E13" s="10"/>
      <c r="F13" s="23"/>
      <c r="G13" s="23"/>
      <c r="H13" s="23"/>
      <c r="I13" s="23"/>
      <c r="J13" s="23"/>
      <c r="K13" s="23"/>
      <c r="L13" s="23"/>
      <c r="M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37" x14ac:dyDescent="0.25">
      <c r="A14" s="6">
        <v>8</v>
      </c>
      <c r="B14" s="6">
        <v>2.5250448070368452</v>
      </c>
      <c r="C14" s="6">
        <f t="shared" si="0"/>
        <v>3.1860950803362171</v>
      </c>
      <c r="D14" s="6">
        <f t="shared" si="1"/>
        <v>0.43698746382917431</v>
      </c>
      <c r="E14" s="10"/>
      <c r="F14" s="23"/>
      <c r="G14" s="23"/>
      <c r="H14" s="23"/>
      <c r="I14" s="23"/>
      <c r="J14" s="23"/>
      <c r="K14" s="23"/>
      <c r="L14" s="23"/>
      <c r="M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x14ac:dyDescent="0.25">
      <c r="A15" s="6">
        <v>10</v>
      </c>
      <c r="B15" s="6">
        <v>2.6989700043360187</v>
      </c>
      <c r="C15" s="6">
        <f t="shared" si="0"/>
        <v>2.9560479881656185</v>
      </c>
      <c r="D15" s="6">
        <f t="shared" si="1"/>
        <v>6.6089089769891973E-2</v>
      </c>
      <c r="E15" s="10"/>
      <c r="F15" s="10"/>
      <c r="G15" s="10"/>
      <c r="H15" s="10"/>
      <c r="I15" s="10"/>
      <c r="J15" s="10"/>
      <c r="K15" s="10"/>
      <c r="L15" s="10"/>
      <c r="M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x14ac:dyDescent="0.25">
      <c r="A16" s="6">
        <v>0</v>
      </c>
      <c r="B16" s="6">
        <v>5.4313637641589869</v>
      </c>
      <c r="C16" s="6">
        <f t="shared" si="0"/>
        <v>5.4403594206715269</v>
      </c>
      <c r="D16" s="6">
        <f t="shared" si="1"/>
        <v>8.0921836091602832E-5</v>
      </c>
      <c r="E16" s="10"/>
      <c r="F16" s="10"/>
      <c r="G16" s="10"/>
      <c r="H16" s="10"/>
      <c r="I16" s="10"/>
      <c r="J16" s="10"/>
      <c r="K16" s="10"/>
      <c r="L16" s="10"/>
      <c r="M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x14ac:dyDescent="0.25">
      <c r="A17" s="6">
        <v>1</v>
      </c>
      <c r="B17" s="6">
        <v>5</v>
      </c>
      <c r="C17" s="6">
        <f t="shared" si="0"/>
        <v>4.6854748355751061</v>
      </c>
      <c r="D17" s="6">
        <f t="shared" si="1"/>
        <v>9.8926079056506522E-2</v>
      </c>
      <c r="E17" s="10"/>
      <c r="F17" s="10"/>
      <c r="G17" s="10"/>
      <c r="H17" s="10"/>
      <c r="I17" s="10"/>
      <c r="J17" s="10"/>
      <c r="K17" s="10"/>
      <c r="L17" s="10"/>
      <c r="M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</row>
    <row r="18" spans="1:37" x14ac:dyDescent="0.25">
      <c r="A18" s="6">
        <v>2</v>
      </c>
      <c r="B18" s="6">
        <v>3.8260748027008264</v>
      </c>
      <c r="C18" s="6">
        <f t="shared" si="0"/>
        <v>3.9413594374172591</v>
      </c>
      <c r="D18" s="6">
        <f t="shared" si="1"/>
        <v>1.3290547001701318E-2</v>
      </c>
      <c r="E18" s="10"/>
      <c r="F18" s="10"/>
      <c r="G18" s="10"/>
      <c r="H18" s="10"/>
      <c r="I18" s="10"/>
      <c r="J18" s="10"/>
      <c r="K18" s="10"/>
      <c r="L18" s="10"/>
      <c r="M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x14ac:dyDescent="0.25">
      <c r="A19" s="6">
        <v>4</v>
      </c>
      <c r="B19" s="6">
        <v>3.568201724066995</v>
      </c>
      <c r="C19" s="6">
        <f t="shared" si="0"/>
        <v>3.5960964698330304</v>
      </c>
      <c r="D19" s="6">
        <f t="shared" si="1"/>
        <v>7.7811684135175294E-4</v>
      </c>
      <c r="E19" s="10"/>
      <c r="F19" s="10"/>
      <c r="G19" s="10"/>
      <c r="H19" s="10"/>
      <c r="I19" s="10"/>
      <c r="J19" s="10"/>
      <c r="K19" s="10"/>
      <c r="L19" s="10"/>
      <c r="M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1:37" x14ac:dyDescent="0.25">
      <c r="A20" s="6">
        <v>6</v>
      </c>
      <c r="B20" s="6">
        <v>4.1553360374650614</v>
      </c>
      <c r="C20" s="6">
        <f t="shared" si="0"/>
        <v>3.4005097558934092</v>
      </c>
      <c r="D20" s="6">
        <f t="shared" si="1"/>
        <v>0.5697627153512872</v>
      </c>
      <c r="E20" s="10"/>
      <c r="F20" s="10"/>
      <c r="G20" s="10"/>
      <c r="H20" s="10"/>
      <c r="I20" s="10"/>
      <c r="J20" s="10"/>
      <c r="K20" s="10"/>
      <c r="L20" s="10"/>
      <c r="M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</row>
    <row r="21" spans="1:37" x14ac:dyDescent="0.25">
      <c r="A21" s="6">
        <v>8</v>
      </c>
      <c r="B21" s="6">
        <v>3.7403626894942437</v>
      </c>
      <c r="C21" s="6">
        <f t="shared" si="0"/>
        <v>3.1860950803362171</v>
      </c>
      <c r="D21" s="6">
        <f t="shared" si="1"/>
        <v>0.30721258256175488</v>
      </c>
      <c r="E21" s="10"/>
      <c r="F21" s="10"/>
      <c r="G21" s="10"/>
      <c r="H21" s="10"/>
      <c r="I21" s="10"/>
      <c r="J21" s="10"/>
      <c r="K21" s="10"/>
      <c r="L21" s="10"/>
      <c r="M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</row>
    <row r="22" spans="1:37" x14ac:dyDescent="0.25">
      <c r="A22" s="6">
        <v>10</v>
      </c>
      <c r="B22" s="6">
        <v>3.7403626894942437</v>
      </c>
      <c r="C22" s="6">
        <f t="shared" si="0"/>
        <v>2.9560479881656185</v>
      </c>
      <c r="D22" s="6">
        <f t="shared" si="1"/>
        <v>0.61514955072021049</v>
      </c>
      <c r="E22" s="10"/>
      <c r="F22" s="10"/>
      <c r="G22" s="10"/>
      <c r="H22" s="10"/>
      <c r="I22" s="10"/>
      <c r="J22" s="10"/>
      <c r="K22" s="10"/>
      <c r="L22" s="10"/>
      <c r="M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x14ac:dyDescent="0.25">
      <c r="A23" s="7" t="s">
        <v>10</v>
      </c>
      <c r="B23" s="6"/>
      <c r="C23" s="6"/>
      <c r="D23" s="6">
        <f>SUM(D2:D22)</f>
        <v>3.737247661312292</v>
      </c>
      <c r="E23" s="10"/>
      <c r="F23" s="10"/>
      <c r="G23" s="10"/>
      <c r="H23" s="10"/>
      <c r="I23" s="10"/>
      <c r="J23" s="10"/>
      <c r="K23" s="10"/>
      <c r="L23" s="10"/>
      <c r="M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</row>
    <row r="24" spans="1:37" x14ac:dyDescent="0.25">
      <c r="A24" s="6"/>
      <c r="B24" s="6"/>
      <c r="C24" s="6"/>
      <c r="D24" s="6"/>
      <c r="E24" s="10"/>
      <c r="F24" s="10"/>
      <c r="G24" s="10"/>
      <c r="H24" s="10"/>
      <c r="I24" s="10"/>
      <c r="J24" s="10"/>
      <c r="K24" s="10"/>
      <c r="L24" s="10"/>
      <c r="M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</row>
    <row r="25" spans="1:37" x14ac:dyDescent="0.25">
      <c r="A25" s="6"/>
      <c r="B25" s="6"/>
      <c r="C25" s="6"/>
      <c r="D25" s="6"/>
      <c r="E25" s="10"/>
      <c r="F25" s="10"/>
      <c r="G25" s="10"/>
      <c r="H25" s="10"/>
      <c r="I25" s="10"/>
      <c r="J25" s="10"/>
      <c r="K25" s="10"/>
      <c r="L25" s="10"/>
      <c r="M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</row>
    <row r="26" spans="1:37" x14ac:dyDescent="0.25">
      <c r="A26" s="6">
        <v>0</v>
      </c>
      <c r="B26" s="6"/>
      <c r="C26" s="6">
        <f>LOG((10^$G$5)/(1+10^$G$2)*(10^(-1*(A26/$G$3)^$G$4+$G$2)+10^(-1*(A26/$G$6)^$G$4)))</f>
        <v>5.4403594206715269</v>
      </c>
      <c r="D26" s="6"/>
      <c r="E26" s="10"/>
      <c r="F26" s="10"/>
      <c r="G26" s="10"/>
      <c r="H26" s="10"/>
      <c r="I26" s="10"/>
      <c r="J26" s="10"/>
      <c r="K26" s="10"/>
      <c r="L26" s="10"/>
      <c r="M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</row>
    <row r="27" spans="1:37" x14ac:dyDescent="0.25">
      <c r="A27" s="6">
        <v>0.1</v>
      </c>
      <c r="B27" s="6"/>
      <c r="C27" s="6">
        <f t="shared" ref="C27:C90" si="2">LOG((10^$G$5)/(1+10^$G$2)*(10^(-1*(A27/$G$3)^$G$4+$G$2)+10^(-1*(A27/$G$6)^$G$4)))</f>
        <v>5.3989794482908975</v>
      </c>
      <c r="D27" s="6"/>
      <c r="E27" s="10"/>
      <c r="F27" s="10"/>
      <c r="G27" s="10"/>
      <c r="H27" s="10"/>
      <c r="I27" s="10"/>
      <c r="J27" s="10"/>
      <c r="K27" s="10"/>
      <c r="L27" s="10"/>
      <c r="M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</row>
    <row r="28" spans="1:37" x14ac:dyDescent="0.25">
      <c r="A28" s="6">
        <v>0.2</v>
      </c>
      <c r="B28" s="6"/>
      <c r="C28" s="6">
        <f t="shared" si="2"/>
        <v>5.3401359145815332</v>
      </c>
      <c r="D28" s="6"/>
      <c r="E28" s="10"/>
      <c r="F28" s="10"/>
      <c r="G28" s="10"/>
      <c r="H28" s="10"/>
      <c r="I28" s="10"/>
      <c r="J28" s="10"/>
      <c r="K28" s="10"/>
      <c r="L28" s="10"/>
      <c r="M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</row>
    <row r="29" spans="1:37" x14ac:dyDescent="0.25">
      <c r="A29" s="6">
        <v>0.30000000000000004</v>
      </c>
      <c r="B29" s="6"/>
      <c r="C29" s="6">
        <f t="shared" si="2"/>
        <v>5.272424700759804</v>
      </c>
      <c r="D29" s="6"/>
      <c r="E29" s="10"/>
      <c r="F29" s="10"/>
      <c r="G29" s="10"/>
      <c r="H29" s="10"/>
      <c r="I29" s="10"/>
      <c r="J29" s="10"/>
      <c r="K29" s="10"/>
      <c r="L29" s="10"/>
      <c r="M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</row>
    <row r="30" spans="1:37" x14ac:dyDescent="0.25">
      <c r="A30" s="6">
        <v>0.4</v>
      </c>
      <c r="B30" s="6"/>
      <c r="C30" s="6">
        <f t="shared" si="2"/>
        <v>5.1984447739219251</v>
      </c>
      <c r="D30" s="6"/>
      <c r="E30" s="10"/>
      <c r="F30" s="10"/>
      <c r="G30" s="10"/>
      <c r="H30" s="10"/>
      <c r="I30" s="10"/>
      <c r="J30" s="10"/>
      <c r="K30" s="10"/>
      <c r="L30" s="10"/>
      <c r="M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</row>
    <row r="31" spans="1:37" x14ac:dyDescent="0.25">
      <c r="A31" s="6">
        <v>0.5</v>
      </c>
      <c r="B31" s="6"/>
      <c r="C31" s="6">
        <f t="shared" si="2"/>
        <v>5.1196724442314654</v>
      </c>
      <c r="D31" s="6"/>
      <c r="E31" s="10"/>
      <c r="F31" s="10"/>
      <c r="G31" s="10"/>
      <c r="H31" s="10"/>
      <c r="I31" s="10"/>
      <c r="J31" s="10"/>
      <c r="K31" s="10"/>
      <c r="L31" s="10"/>
      <c r="M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x14ac:dyDescent="0.25">
      <c r="A32" s="6">
        <v>0.6</v>
      </c>
      <c r="B32" s="6"/>
      <c r="C32" s="6">
        <f t="shared" si="2"/>
        <v>5.0371489562193448</v>
      </c>
      <c r="D32" s="6"/>
      <c r="E32" s="10"/>
      <c r="F32" s="10"/>
      <c r="G32" s="10"/>
      <c r="H32" s="10"/>
      <c r="I32" s="10"/>
      <c r="J32" s="10"/>
      <c r="K32" s="10"/>
      <c r="L32" s="10"/>
      <c r="M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</row>
    <row r="33" spans="1:37" x14ac:dyDescent="0.25">
      <c r="A33" s="6">
        <v>0.7</v>
      </c>
      <c r="B33" s="6"/>
      <c r="C33" s="6">
        <f t="shared" si="2"/>
        <v>4.9517177645199908</v>
      </c>
      <c r="D33" s="6"/>
      <c r="E33" s="10"/>
      <c r="F33" s="10"/>
      <c r="G33" s="10"/>
      <c r="H33" s="10"/>
      <c r="I33" s="10"/>
      <c r="J33" s="10"/>
      <c r="K33" s="10"/>
      <c r="L33" s="10"/>
      <c r="M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</row>
    <row r="34" spans="1:37" x14ac:dyDescent="0.25">
      <c r="A34" s="6">
        <v>0.79999999999999993</v>
      </c>
      <c r="B34" s="6"/>
      <c r="C34" s="6">
        <f t="shared" si="2"/>
        <v>4.864135962054756</v>
      </c>
      <c r="D34" s="6"/>
      <c r="E34" s="10"/>
      <c r="F34" s="10"/>
      <c r="G34" s="10"/>
      <c r="H34" s="10"/>
      <c r="I34" s="10"/>
      <c r="J34" s="10"/>
      <c r="K34" s="10"/>
      <c r="L34" s="10"/>
      <c r="M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</row>
    <row r="35" spans="1:37" x14ac:dyDescent="0.25">
      <c r="A35" s="6">
        <v>0.89999999999999991</v>
      </c>
      <c r="B35" s="6"/>
      <c r="C35" s="6">
        <f t="shared" si="2"/>
        <v>4.7751377073759231</v>
      </c>
      <c r="D35" s="6"/>
      <c r="E35" s="10"/>
      <c r="F35" s="10"/>
      <c r="G35" s="10"/>
      <c r="H35" s="10"/>
      <c r="I35" s="10"/>
      <c r="J35" s="10"/>
      <c r="K35" s="10"/>
      <c r="L35" s="10"/>
      <c r="M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</row>
    <row r="36" spans="1:37" x14ac:dyDescent="0.25">
      <c r="A36" s="6">
        <v>0.99999999999999989</v>
      </c>
      <c r="B36" s="6"/>
      <c r="C36" s="6">
        <f t="shared" si="2"/>
        <v>4.685474835575107</v>
      </c>
      <c r="D36" s="6"/>
      <c r="E36" s="10"/>
      <c r="F36" s="10"/>
      <c r="G36" s="10"/>
      <c r="H36" s="10"/>
      <c r="I36" s="10"/>
      <c r="J36" s="10"/>
      <c r="K36" s="10"/>
      <c r="L36" s="10"/>
      <c r="M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</row>
    <row r="37" spans="1:37" x14ac:dyDescent="0.25">
      <c r="A37" s="6">
        <v>1.0999999999999999</v>
      </c>
      <c r="B37" s="6"/>
      <c r="C37" s="6">
        <f t="shared" si="2"/>
        <v>4.5959433797932698</v>
      </c>
      <c r="D37" s="6"/>
      <c r="E37" s="10"/>
      <c r="F37" s="10"/>
      <c r="G37" s="10"/>
      <c r="H37" s="10"/>
      <c r="I37" s="10"/>
      <c r="J37" s="10"/>
      <c r="K37" s="10"/>
      <c r="L37" s="10"/>
      <c r="M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x14ac:dyDescent="0.25">
      <c r="A38" s="6">
        <v>1.2</v>
      </c>
      <c r="B38" s="6"/>
      <c r="C38" s="6">
        <f t="shared" si="2"/>
        <v>4.5073979598018425</v>
      </c>
      <c r="D38" s="6"/>
      <c r="E38" s="10"/>
      <c r="F38" s="10"/>
      <c r="G38" s="10"/>
      <c r="H38" s="10"/>
      <c r="I38" s="10"/>
      <c r="J38" s="10"/>
      <c r="K38" s="10"/>
      <c r="L38" s="10"/>
      <c r="M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25">
      <c r="A39" s="6">
        <v>1.3</v>
      </c>
      <c r="B39" s="6"/>
      <c r="C39" s="6">
        <f t="shared" si="2"/>
        <v>4.4207526025789683</v>
      </c>
      <c r="D39" s="6"/>
      <c r="E39" s="10"/>
      <c r="F39" s="10"/>
      <c r="G39" s="10"/>
      <c r="H39" s="10"/>
      <c r="I39" s="10"/>
      <c r="J39" s="10"/>
      <c r="K39" s="10"/>
      <c r="L39" s="10"/>
      <c r="M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</row>
    <row r="40" spans="1:37" x14ac:dyDescent="0.25">
      <c r="A40" s="6">
        <v>1.4000000000000001</v>
      </c>
      <c r="B40" s="6"/>
      <c r="C40" s="6">
        <f t="shared" si="2"/>
        <v>4.3369650155337629</v>
      </c>
      <c r="D40" s="6"/>
      <c r="E40" s="10"/>
      <c r="F40" s="10"/>
      <c r="G40" s="10"/>
      <c r="H40" s="10"/>
      <c r="I40" s="10"/>
      <c r="J40" s="10"/>
      <c r="K40" s="10"/>
      <c r="L40" s="10"/>
      <c r="M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</row>
    <row r="41" spans="1:37" x14ac:dyDescent="0.25">
      <c r="A41" s="6">
        <v>1.5000000000000002</v>
      </c>
      <c r="B41" s="6"/>
      <c r="C41" s="6">
        <f t="shared" si="2"/>
        <v>4.2570016382376208</v>
      </c>
      <c r="D41" s="6"/>
      <c r="E41" s="10"/>
      <c r="F41" s="10"/>
      <c r="G41" s="10"/>
      <c r="H41" s="10"/>
      <c r="I41" s="10"/>
      <c r="J41" s="10"/>
      <c r="K41" s="10"/>
      <c r="L41" s="10"/>
      <c r="M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</row>
    <row r="42" spans="1:37" x14ac:dyDescent="0.25">
      <c r="A42" s="6">
        <v>1.6000000000000003</v>
      </c>
      <c r="B42" s="6"/>
      <c r="C42" s="6">
        <f t="shared" si="2"/>
        <v>4.1817833883982978</v>
      </c>
      <c r="D42" s="6"/>
      <c r="E42" s="10"/>
      <c r="F42" s="10"/>
      <c r="G42" s="10"/>
      <c r="H42" s="10"/>
      <c r="I42" s="10"/>
      <c r="J42" s="10"/>
      <c r="K42" s="10"/>
      <c r="L42" s="10"/>
      <c r="M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x14ac:dyDescent="0.25">
      <c r="A43" s="6">
        <v>1.7000000000000004</v>
      </c>
      <c r="B43" s="6"/>
      <c r="C43" s="6">
        <f t="shared" si="2"/>
        <v>4.1121169228448808</v>
      </c>
      <c r="D43" s="6"/>
      <c r="E43" s="10"/>
      <c r="F43" s="10"/>
      <c r="G43" s="10"/>
      <c r="H43" s="10"/>
      <c r="I43" s="10"/>
      <c r="J43" s="10"/>
      <c r="K43" s="10"/>
      <c r="L43" s="10"/>
      <c r="M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</row>
    <row r="44" spans="1:37" x14ac:dyDescent="0.25">
      <c r="A44" s="6">
        <v>1.8000000000000005</v>
      </c>
      <c r="B44" s="6"/>
      <c r="C44" s="6">
        <f t="shared" si="2"/>
        <v>4.0486222798483471</v>
      </c>
      <c r="D44" s="6"/>
      <c r="E44" s="10"/>
      <c r="F44" s="10"/>
      <c r="G44" s="10"/>
      <c r="H44" s="10"/>
      <c r="I44" s="10"/>
      <c r="J44" s="10"/>
      <c r="K44" s="10"/>
      <c r="L44" s="10"/>
      <c r="M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</row>
    <row r="45" spans="1:37" x14ac:dyDescent="0.25">
      <c r="A45" s="6">
        <v>1.9000000000000006</v>
      </c>
      <c r="B45" s="6"/>
      <c r="C45" s="6">
        <f t="shared" si="2"/>
        <v>3.991672327872283</v>
      </c>
      <c r="D45" s="6"/>
      <c r="E45" s="10"/>
      <c r="F45" s="10"/>
      <c r="G45" s="10"/>
      <c r="H45" s="10"/>
      <c r="I45" s="10"/>
      <c r="J45" s="10"/>
      <c r="K45" s="10"/>
      <c r="L45" s="10"/>
      <c r="M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</row>
    <row r="46" spans="1:37" x14ac:dyDescent="0.25">
      <c r="A46" s="6">
        <v>2.0000000000000004</v>
      </c>
      <c r="B46" s="6"/>
      <c r="C46" s="6">
        <f t="shared" si="2"/>
        <v>3.9413594374172591</v>
      </c>
      <c r="D46" s="6"/>
      <c r="E46" s="10"/>
      <c r="F46" s="10"/>
      <c r="G46" s="10"/>
      <c r="H46" s="10"/>
      <c r="I46" s="10"/>
      <c r="J46" s="10"/>
      <c r="K46" s="10"/>
      <c r="L46" s="10"/>
      <c r="M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</row>
    <row r="47" spans="1:37" x14ac:dyDescent="0.25">
      <c r="A47" s="6">
        <v>2.1000000000000005</v>
      </c>
      <c r="B47" s="6"/>
      <c r="C47" s="6">
        <f t="shared" si="2"/>
        <v>3.8974987898439961</v>
      </c>
      <c r="D47" s="6"/>
      <c r="E47" s="10"/>
      <c r="F47" s="10"/>
      <c r="G47" s="10"/>
      <c r="H47" s="10"/>
      <c r="I47" s="10"/>
      <c r="J47" s="10"/>
      <c r="K47" s="10"/>
      <c r="L47" s="10"/>
      <c r="M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</row>
    <row r="48" spans="1:37" x14ac:dyDescent="0.25">
      <c r="A48" s="6">
        <v>2.2000000000000006</v>
      </c>
      <c r="B48" s="6"/>
      <c r="C48" s="6">
        <f t="shared" si="2"/>
        <v>3.8596676061873936</v>
      </c>
      <c r="D48" s="6"/>
      <c r="E48" s="10"/>
      <c r="F48" s="10"/>
      <c r="G48" s="10"/>
      <c r="H48" s="10"/>
      <c r="I48" s="10"/>
      <c r="J48" s="10"/>
      <c r="K48" s="10"/>
      <c r="L48" s="10"/>
      <c r="M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</row>
    <row r="49" spans="1:37" x14ac:dyDescent="0.25">
      <c r="A49" s="6">
        <v>2.3000000000000007</v>
      </c>
      <c r="B49" s="6"/>
      <c r="C49" s="6">
        <f t="shared" si="2"/>
        <v>3.8272698126608469</v>
      </c>
      <c r="D49" s="6"/>
      <c r="E49" s="10"/>
      <c r="F49" s="10"/>
      <c r="G49" s="10"/>
      <c r="H49" s="10"/>
      <c r="I49" s="10"/>
      <c r="J49" s="10"/>
      <c r="K49" s="10"/>
      <c r="L49" s="10"/>
      <c r="M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</row>
    <row r="50" spans="1:37" x14ac:dyDescent="0.25">
      <c r="A50" s="6">
        <v>2.4000000000000008</v>
      </c>
      <c r="B50" s="6"/>
      <c r="C50" s="6">
        <f t="shared" si="2"/>
        <v>3.7996105151315929</v>
      </c>
      <c r="D50" s="6"/>
      <c r="E50" s="10"/>
      <c r="F50" s="10"/>
      <c r="G50" s="10"/>
      <c r="H50" s="10"/>
      <c r="I50" s="10"/>
      <c r="J50" s="10"/>
      <c r="K50" s="10"/>
      <c r="L50" s="10"/>
      <c r="M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 x14ac:dyDescent="0.25">
      <c r="A51" s="6">
        <v>2.5000000000000009</v>
      </c>
      <c r="B51" s="6"/>
      <c r="C51" s="6">
        <f t="shared" si="2"/>
        <v>3.7759654992338616</v>
      </c>
      <c r="D51" s="6"/>
      <c r="E51" s="10"/>
      <c r="F51" s="10"/>
      <c r="G51" s="10"/>
      <c r="H51" s="10"/>
      <c r="I51" s="10"/>
      <c r="J51" s="10"/>
      <c r="K51" s="10"/>
      <c r="L51" s="10"/>
      <c r="M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25">
      <c r="A52" s="6">
        <v>2.600000000000001</v>
      </c>
      <c r="B52" s="6"/>
      <c r="C52" s="6">
        <f t="shared" si="2"/>
        <v>3.7556360112487042</v>
      </c>
      <c r="D52" s="6"/>
      <c r="E52" s="10"/>
      <c r="F52" s="10"/>
      <c r="G52" s="10"/>
      <c r="H52" s="10"/>
      <c r="I52" s="10"/>
      <c r="J52" s="10"/>
      <c r="K52" s="10"/>
      <c r="L52" s="10"/>
      <c r="M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</row>
    <row r="53" spans="1:37" x14ac:dyDescent="0.25">
      <c r="A53" s="6">
        <v>2.7000000000000011</v>
      </c>
      <c r="B53" s="6"/>
      <c r="C53" s="6">
        <f t="shared" si="2"/>
        <v>3.7379851958387968</v>
      </c>
      <c r="D53" s="6"/>
      <c r="E53" s="10"/>
      <c r="F53" s="10"/>
      <c r="G53" s="10"/>
      <c r="H53" s="10"/>
      <c r="I53" s="10"/>
      <c r="J53" s="10"/>
      <c r="K53" s="10"/>
      <c r="L53" s="10"/>
      <c r="M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</row>
    <row r="54" spans="1:37" x14ac:dyDescent="0.25">
      <c r="A54" s="6">
        <v>2.8000000000000012</v>
      </c>
      <c r="B54" s="6"/>
      <c r="C54" s="6">
        <f t="shared" si="2"/>
        <v>3.7224573617630088</v>
      </c>
      <c r="D54" s="6"/>
      <c r="E54" s="10"/>
      <c r="F54" s="10"/>
      <c r="G54" s="10"/>
      <c r="H54" s="10"/>
      <c r="I54" s="10"/>
      <c r="J54" s="10"/>
      <c r="K54" s="10"/>
      <c r="L54" s="10"/>
      <c r="M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1:37" x14ac:dyDescent="0.25">
      <c r="A55" s="6">
        <v>2.9000000000000012</v>
      </c>
      <c r="B55" s="6"/>
      <c r="C55" s="6">
        <f t="shared" si="2"/>
        <v>3.7085838235492004</v>
      </c>
      <c r="D55" s="6"/>
      <c r="E55" s="10"/>
      <c r="F55" s="10"/>
      <c r="G55" s="10"/>
      <c r="H55" s="10"/>
      <c r="I55" s="10"/>
      <c r="J55" s="10"/>
      <c r="K55" s="10"/>
      <c r="L55" s="10"/>
      <c r="M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x14ac:dyDescent="0.25">
      <c r="A56" s="6">
        <v>3.0000000000000013</v>
      </c>
      <c r="B56" s="6"/>
      <c r="C56" s="6">
        <f t="shared" si="2"/>
        <v>3.6959797162615358</v>
      </c>
      <c r="D56" s="6"/>
      <c r="E56" s="10"/>
      <c r="F56" s="10"/>
      <c r="G56" s="10"/>
      <c r="H56" s="10"/>
      <c r="I56" s="10"/>
      <c r="J56" s="10"/>
      <c r="K56" s="10"/>
      <c r="L56" s="10"/>
      <c r="M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</row>
    <row r="57" spans="1:37" x14ac:dyDescent="0.25">
      <c r="A57" s="6">
        <v>3.1000000000000014</v>
      </c>
      <c r="B57" s="6"/>
      <c r="C57" s="6">
        <f t="shared" si="2"/>
        <v>3.6843356613150435</v>
      </c>
      <c r="D57" s="6"/>
      <c r="E57" s="10"/>
      <c r="F57" s="10"/>
      <c r="G57" s="10"/>
      <c r="H57" s="10"/>
      <c r="I57" s="10"/>
      <c r="J57" s="10"/>
      <c r="K57" s="10"/>
      <c r="L57" s="10"/>
      <c r="M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</row>
    <row r="58" spans="1:37" x14ac:dyDescent="0.25">
      <c r="A58" s="6">
        <v>3.2000000000000015</v>
      </c>
      <c r="B58" s="6"/>
      <c r="C58" s="6">
        <f t="shared" si="2"/>
        <v>3.6734071784414364</v>
      </c>
      <c r="D58" s="6"/>
      <c r="E58" s="10"/>
      <c r="F58" s="10"/>
      <c r="G58" s="10"/>
      <c r="H58" s="10"/>
      <c r="I58" s="10"/>
      <c r="J58" s="10"/>
      <c r="K58" s="10"/>
      <c r="L58" s="10"/>
      <c r="M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</row>
    <row r="59" spans="1:37" x14ac:dyDescent="0.25">
      <c r="A59" s="6">
        <v>3.3000000000000016</v>
      </c>
      <c r="B59" s="6"/>
      <c r="C59" s="6">
        <f t="shared" si="2"/>
        <v>3.6630037416056469</v>
      </c>
      <c r="D59" s="6"/>
      <c r="E59" s="10"/>
      <c r="F59" s="10"/>
      <c r="G59" s="10"/>
      <c r="H59" s="10"/>
      <c r="I59" s="10"/>
      <c r="J59" s="10"/>
      <c r="K59" s="10"/>
      <c r="L59" s="10"/>
      <c r="M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</row>
    <row r="60" spans="1:37" x14ac:dyDescent="0.25">
      <c r="A60" s="6">
        <v>3.4000000000000017</v>
      </c>
      <c r="B60" s="6"/>
      <c r="C60" s="6">
        <f t="shared" si="2"/>
        <v>3.6529785700597985</v>
      </c>
      <c r="D60" s="6"/>
      <c r="E60" s="10"/>
      <c r="F60" s="10"/>
      <c r="G60" s="10"/>
      <c r="H60" s="10"/>
      <c r="I60" s="10"/>
      <c r="J60" s="10"/>
      <c r="K60" s="10"/>
      <c r="L60" s="10"/>
      <c r="M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</row>
    <row r="61" spans="1:37" x14ac:dyDescent="0.25">
      <c r="A61" s="6">
        <v>3.5000000000000018</v>
      </c>
      <c r="B61" s="6"/>
      <c r="C61" s="6">
        <f t="shared" si="2"/>
        <v>3.6432196769084491</v>
      </c>
      <c r="D61" s="6"/>
      <c r="E61" s="10"/>
      <c r="F61" s="10"/>
      <c r="G61" s="10"/>
      <c r="H61" s="10"/>
      <c r="I61" s="10"/>
      <c r="J61" s="10"/>
      <c r="K61" s="10"/>
      <c r="L61" s="10"/>
      <c r="M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</row>
    <row r="62" spans="1:37" x14ac:dyDescent="0.25">
      <c r="A62" s="6">
        <v>3.6000000000000019</v>
      </c>
      <c r="B62" s="6"/>
      <c r="C62" s="6">
        <f t="shared" si="2"/>
        <v>3.6336423371739262</v>
      </c>
      <c r="D62" s="6"/>
      <c r="E62" s="10"/>
      <c r="F62" s="10"/>
      <c r="G62" s="10"/>
      <c r="H62" s="10"/>
      <c r="I62" s="10"/>
      <c r="J62" s="10"/>
      <c r="K62" s="10"/>
      <c r="L62" s="10"/>
      <c r="M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x14ac:dyDescent="0.25">
      <c r="A63" s="6">
        <v>3.700000000000002</v>
      </c>
      <c r="B63" s="6"/>
      <c r="C63" s="6">
        <f t="shared" si="2"/>
        <v>3.6241829320425252</v>
      </c>
      <c r="D63" s="6"/>
      <c r="E63" s="10"/>
      <c r="F63" s="10"/>
      <c r="G63" s="10"/>
      <c r="H63" s="10"/>
      <c r="I63" s="10"/>
      <c r="J63" s="10"/>
      <c r="K63" s="10"/>
      <c r="L63" s="10"/>
      <c r="M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</row>
    <row r="64" spans="1:37" x14ac:dyDescent="0.25">
      <c r="A64" s="6">
        <v>3.800000000000002</v>
      </c>
      <c r="B64" s="6"/>
      <c r="C64" s="6">
        <f t="shared" si="2"/>
        <v>3.6147940244055152</v>
      </c>
      <c r="D64" s="6"/>
      <c r="E64" s="10"/>
      <c r="F64" s="10"/>
      <c r="G64" s="10"/>
      <c r="H64" s="10"/>
      <c r="I64" s="10"/>
      <c r="J64" s="10"/>
      <c r="K64" s="10"/>
      <c r="L64" s="10"/>
      <c r="M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25">
      <c r="A65" s="6">
        <v>3.9000000000000021</v>
      </c>
      <c r="B65" s="6"/>
      <c r="C65" s="6">
        <f t="shared" si="2"/>
        <v>3.6054404829266042</v>
      </c>
      <c r="D65" s="6"/>
      <c r="E65" s="10"/>
      <c r="F65" s="10"/>
      <c r="G65" s="10"/>
      <c r="H65" s="10"/>
      <c r="I65" s="10"/>
      <c r="J65" s="10"/>
      <c r="K65" s="10"/>
      <c r="L65" s="10"/>
      <c r="M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</row>
    <row r="66" spans="1:37" x14ac:dyDescent="0.25">
      <c r="A66" s="6">
        <v>4.0000000000000018</v>
      </c>
      <c r="B66" s="6"/>
      <c r="C66" s="6">
        <f t="shared" si="2"/>
        <v>3.59609646983303</v>
      </c>
      <c r="D66" s="6"/>
      <c r="E66" s="10"/>
      <c r="F66" s="10"/>
      <c r="G66" s="10"/>
      <c r="H66" s="10"/>
      <c r="I66" s="10"/>
      <c r="J66" s="10"/>
      <c r="K66" s="10"/>
      <c r="L66" s="10"/>
      <c r="M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</row>
    <row r="67" spans="1:37" x14ac:dyDescent="0.25">
      <c r="A67" s="6">
        <v>4.1000000000000014</v>
      </c>
      <c r="B67" s="6"/>
      <c r="C67" s="6">
        <f t="shared" si="2"/>
        <v>3.5867431236010749</v>
      </c>
      <c r="D67" s="6"/>
      <c r="E67" s="10"/>
      <c r="F67" s="10"/>
      <c r="G67" s="10"/>
      <c r="H67" s="10"/>
      <c r="I67" s="10"/>
      <c r="J67" s="10"/>
      <c r="K67" s="10"/>
      <c r="L67" s="10"/>
      <c r="M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</row>
    <row r="68" spans="1:37" x14ac:dyDescent="0.25">
      <c r="A68" s="6">
        <v>4.2000000000000011</v>
      </c>
      <c r="B68" s="6"/>
      <c r="C68" s="6">
        <f t="shared" si="2"/>
        <v>3.5773667910124356</v>
      </c>
      <c r="D68" s="6"/>
      <c r="E68" s="10"/>
      <c r="F68" s="10"/>
      <c r="G68" s="10"/>
      <c r="H68" s="10"/>
      <c r="I68" s="10"/>
      <c r="J68" s="10"/>
      <c r="K68" s="10"/>
      <c r="L68" s="10"/>
      <c r="M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x14ac:dyDescent="0.25">
      <c r="A69" s="6">
        <v>4.3000000000000007</v>
      </c>
      <c r="B69" s="6"/>
      <c r="C69" s="6">
        <f t="shared" si="2"/>
        <v>3.5679576877463477</v>
      </c>
      <c r="D69" s="6"/>
      <c r="E69" s="10"/>
      <c r="F69" s="10"/>
      <c r="G69" s="10"/>
      <c r="H69" s="10"/>
      <c r="I69" s="10"/>
      <c r="J69" s="10"/>
      <c r="K69" s="10"/>
      <c r="L69" s="10"/>
      <c r="M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</row>
    <row r="70" spans="1:37" x14ac:dyDescent="0.25">
      <c r="A70" s="6">
        <v>4.4000000000000004</v>
      </c>
      <c r="B70" s="6"/>
      <c r="C70" s="6">
        <f t="shared" si="2"/>
        <v>3.5585088897258799</v>
      </c>
      <c r="D70" s="6"/>
      <c r="E70" s="10"/>
      <c r="F70" s="10"/>
      <c r="G70" s="10"/>
      <c r="H70" s="10"/>
      <c r="I70" s="10"/>
      <c r="J70" s="10"/>
      <c r="K70" s="10"/>
      <c r="L70" s="10"/>
      <c r="M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</row>
    <row r="71" spans="1:37" x14ac:dyDescent="0.25">
      <c r="A71" s="6">
        <v>4.5</v>
      </c>
      <c r="B71" s="6"/>
      <c r="C71" s="6">
        <f t="shared" si="2"/>
        <v>3.5490155775592398</v>
      </c>
      <c r="D71" s="6"/>
      <c r="E71" s="10"/>
      <c r="F71" s="10"/>
      <c r="G71" s="10"/>
      <c r="H71" s="10"/>
      <c r="I71" s="10"/>
      <c r="J71" s="10"/>
      <c r="K71" s="10"/>
      <c r="L71" s="10"/>
      <c r="M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</row>
    <row r="72" spans="1:37" x14ac:dyDescent="0.25">
      <c r="A72" s="6">
        <v>4.5999999999999996</v>
      </c>
      <c r="B72" s="6"/>
      <c r="C72" s="6">
        <f t="shared" si="2"/>
        <v>3.5394744732646557</v>
      </c>
      <c r="D72" s="6"/>
      <c r="E72" s="10"/>
      <c r="F72" s="10"/>
      <c r="G72" s="10"/>
      <c r="H72" s="10"/>
      <c r="I72" s="10"/>
      <c r="J72" s="10"/>
      <c r="K72" s="10"/>
      <c r="L72" s="10"/>
      <c r="M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</row>
    <row r="73" spans="1:37" x14ac:dyDescent="0.25">
      <c r="A73" s="6">
        <v>4.6999999999999993</v>
      </c>
      <c r="B73" s="6"/>
      <c r="C73" s="6">
        <f t="shared" si="2"/>
        <v>3.529883422184084</v>
      </c>
      <c r="D73" s="6"/>
      <c r="E73" s="10"/>
      <c r="F73" s="10"/>
      <c r="G73" s="10"/>
      <c r="H73" s="10"/>
      <c r="I73" s="10"/>
      <c r="J73" s="10"/>
      <c r="K73" s="10"/>
      <c r="L73" s="10"/>
      <c r="M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</row>
    <row r="74" spans="1:37" x14ac:dyDescent="0.25">
      <c r="A74" s="6">
        <v>4.7999999999999989</v>
      </c>
      <c r="B74" s="6"/>
      <c r="C74" s="6">
        <f t="shared" si="2"/>
        <v>3.5202410839379423</v>
      </c>
      <c r="D74" s="6"/>
      <c r="E74" s="10"/>
      <c r="F74" s="10"/>
      <c r="G74" s="10"/>
      <c r="H74" s="10"/>
      <c r="I74" s="10"/>
      <c r="J74" s="10"/>
      <c r="K74" s="10"/>
      <c r="L74" s="10"/>
      <c r="M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</row>
    <row r="75" spans="1:37" x14ac:dyDescent="0.25">
      <c r="A75" s="6">
        <v>4.8999999999999986</v>
      </c>
      <c r="B75" s="6"/>
      <c r="C75" s="6">
        <f t="shared" si="2"/>
        <v>3.5105467048803263</v>
      </c>
      <c r="D75" s="6"/>
      <c r="E75" s="10"/>
      <c r="F75" s="10"/>
      <c r="G75" s="10"/>
      <c r="H75" s="10"/>
      <c r="I75" s="10"/>
      <c r="J75" s="10"/>
      <c r="K75" s="10"/>
      <c r="L75" s="10"/>
      <c r="M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</row>
    <row r="76" spans="1:37" x14ac:dyDescent="0.25">
      <c r="A76" s="6">
        <v>4.9999999999999982</v>
      </c>
      <c r="B76" s="6"/>
      <c r="C76" s="6">
        <f t="shared" si="2"/>
        <v>3.5007999512040842</v>
      </c>
      <c r="D76" s="6"/>
      <c r="E76" s="10"/>
      <c r="F76" s="10"/>
      <c r="G76" s="10"/>
      <c r="H76" s="10"/>
      <c r="I76" s="10"/>
      <c r="J76" s="10"/>
      <c r="K76" s="10"/>
      <c r="L76" s="10"/>
      <c r="M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x14ac:dyDescent="0.25">
      <c r="A77" s="6">
        <v>5.0999999999999979</v>
      </c>
      <c r="B77" s="6"/>
      <c r="C77" s="6">
        <f t="shared" si="2"/>
        <v>3.4910007869967785</v>
      </c>
      <c r="D77" s="6"/>
      <c r="E77" s="10"/>
      <c r="F77" s="10"/>
      <c r="G77" s="10"/>
      <c r="H77" s="10"/>
      <c r="I77" s="10"/>
      <c r="J77" s="10"/>
      <c r="K77" s="10"/>
      <c r="L77" s="10"/>
      <c r="M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25">
      <c r="A78" s="6">
        <v>5.1999999999999975</v>
      </c>
      <c r="B78" s="6"/>
      <c r="C78" s="6">
        <f t="shared" si="2"/>
        <v>3.4811493854853368</v>
      </c>
      <c r="D78" s="6"/>
      <c r="E78" s="10"/>
      <c r="F78" s="10"/>
      <c r="G78" s="10"/>
      <c r="H78" s="10"/>
      <c r="I78" s="10"/>
      <c r="J78" s="10"/>
      <c r="K78" s="10"/>
      <c r="L78" s="10"/>
      <c r="M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</row>
    <row r="79" spans="1:37" x14ac:dyDescent="0.25">
      <c r="A79" s="6">
        <v>5.2999999999999972</v>
      </c>
      <c r="B79" s="6"/>
      <c r="C79" s="6">
        <f t="shared" si="2"/>
        <v>3.4712460646960315</v>
      </c>
      <c r="D79" s="6"/>
      <c r="E79" s="10"/>
      <c r="F79" s="10"/>
      <c r="G79" s="10"/>
      <c r="H79" s="10"/>
      <c r="I79" s="10"/>
      <c r="J79" s="10"/>
      <c r="K79" s="10"/>
      <c r="L79" s="10"/>
      <c r="M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</row>
    <row r="80" spans="1:37" x14ac:dyDescent="0.25">
      <c r="A80" s="6">
        <v>5.3999999999999968</v>
      </c>
      <c r="B80" s="6"/>
      <c r="C80" s="6">
        <f t="shared" si="2"/>
        <v>3.4612912410126637</v>
      </c>
      <c r="D80" s="6"/>
      <c r="E80" s="10"/>
      <c r="F80" s="10"/>
      <c r="G80" s="10"/>
      <c r="H80" s="10"/>
      <c r="I80" s="10"/>
      <c r="J80" s="10"/>
      <c r="K80" s="10"/>
      <c r="L80" s="10"/>
      <c r="M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</row>
    <row r="81" spans="1:37" x14ac:dyDescent="0.25">
      <c r="A81" s="6">
        <v>5.4999999999999964</v>
      </c>
      <c r="B81" s="6"/>
      <c r="C81" s="6">
        <f t="shared" si="2"/>
        <v>3.4512853958104883</v>
      </c>
      <c r="D81" s="6"/>
      <c r="E81" s="10"/>
      <c r="F81" s="10"/>
      <c r="G81" s="10"/>
      <c r="H81" s="10"/>
      <c r="I81" s="10"/>
      <c r="J81" s="10"/>
      <c r="K81" s="10"/>
      <c r="L81" s="10"/>
      <c r="M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x14ac:dyDescent="0.25">
      <c r="A82" s="6">
        <v>5.5999999999999961</v>
      </c>
      <c r="B82" s="6"/>
      <c r="C82" s="6">
        <f t="shared" si="2"/>
        <v>3.441229051610351</v>
      </c>
      <c r="D82" s="6"/>
      <c r="E82" s="10"/>
      <c r="F82" s="10"/>
      <c r="G82" s="10"/>
      <c r="H82" s="10"/>
      <c r="I82" s="10"/>
      <c r="J82" s="10"/>
      <c r="K82" s="10"/>
      <c r="L82" s="10"/>
      <c r="M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</row>
    <row r="83" spans="1:37" x14ac:dyDescent="0.25">
      <c r="A83" s="6">
        <v>5.6999999999999957</v>
      </c>
      <c r="B83" s="6"/>
      <c r="C83" s="6">
        <f t="shared" si="2"/>
        <v>3.4311227551407715</v>
      </c>
      <c r="D83" s="6"/>
      <c r="E83" s="10"/>
      <c r="F83" s="10"/>
      <c r="G83" s="10"/>
      <c r="H83" s="10"/>
      <c r="I83" s="10"/>
      <c r="J83" s="10"/>
      <c r="K83" s="10"/>
      <c r="L83" s="10"/>
      <c r="M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</row>
    <row r="84" spans="1:37" x14ac:dyDescent="0.25">
      <c r="A84" s="6">
        <v>5.7999999999999954</v>
      </c>
      <c r="B84" s="6"/>
      <c r="C84" s="6">
        <f t="shared" si="2"/>
        <v>3.4209670653951143</v>
      </c>
      <c r="D84" s="6"/>
      <c r="E84" s="10"/>
      <c r="F84" s="10"/>
      <c r="G84" s="10"/>
      <c r="H84" s="10"/>
      <c r="I84" s="10"/>
      <c r="J84" s="10"/>
      <c r="K84" s="10"/>
      <c r="L84" s="10"/>
      <c r="M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</row>
    <row r="85" spans="1:37" x14ac:dyDescent="0.25">
      <c r="A85" s="6">
        <v>5.899999999999995</v>
      </c>
      <c r="B85" s="6"/>
      <c r="C85" s="6">
        <f t="shared" si="2"/>
        <v>3.4107625452877395</v>
      </c>
      <c r="D85" s="6"/>
      <c r="E85" s="10"/>
      <c r="F85" s="10"/>
      <c r="G85" s="10"/>
      <c r="H85" s="10"/>
      <c r="I85" s="10"/>
      <c r="J85" s="10"/>
      <c r="K85" s="10"/>
      <c r="L85" s="10"/>
      <c r="M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x14ac:dyDescent="0.25">
      <c r="A86" s="6">
        <v>5.9999999999999947</v>
      </c>
      <c r="B86" s="6"/>
      <c r="C86" s="6">
        <f t="shared" si="2"/>
        <v>3.4005097558934096</v>
      </c>
      <c r="D86" s="6"/>
      <c r="E86" s="10"/>
      <c r="F86" s="10"/>
      <c r="G86" s="10"/>
      <c r="H86" s="10"/>
      <c r="I86" s="10"/>
      <c r="J86" s="10"/>
      <c r="K86" s="10"/>
      <c r="L86" s="10"/>
      <c r="M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</row>
    <row r="87" spans="1:37" x14ac:dyDescent="0.25">
      <c r="A87" s="6">
        <v>6.0999999999999943</v>
      </c>
      <c r="B87" s="6"/>
      <c r="C87" s="6">
        <f t="shared" si="2"/>
        <v>3.3902092525333178</v>
      </c>
      <c r="D87" s="6"/>
      <c r="E87" s="10"/>
      <c r="F87" s="10"/>
      <c r="G87" s="10"/>
      <c r="H87" s="10"/>
      <c r="I87" s="10"/>
      <c r="J87" s="10"/>
      <c r="K87" s="10"/>
      <c r="L87" s="10"/>
      <c r="M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</row>
    <row r="88" spans="1:37" x14ac:dyDescent="0.25">
      <c r="A88" s="6">
        <v>6.199999999999994</v>
      </c>
      <c r="B88" s="6"/>
      <c r="C88" s="6">
        <f t="shared" si="2"/>
        <v>3.3798615821751792</v>
      </c>
      <c r="D88" s="6"/>
      <c r="E88" s="10"/>
      <c r="F88" s="10"/>
      <c r="G88" s="10"/>
      <c r="H88" s="10"/>
      <c r="I88" s="10"/>
      <c r="J88" s="10"/>
      <c r="K88" s="10"/>
      <c r="L88" s="10"/>
      <c r="M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</row>
    <row r="89" spans="1:37" x14ac:dyDescent="0.25">
      <c r="A89" s="6">
        <v>6.2999999999999936</v>
      </c>
      <c r="B89" s="6"/>
      <c r="C89" s="6">
        <f t="shared" si="2"/>
        <v>3.3694672817635918</v>
      </c>
      <c r="D89" s="6"/>
      <c r="E89" s="10"/>
      <c r="F89" s="10"/>
      <c r="G89" s="10"/>
      <c r="H89" s="10"/>
      <c r="I89" s="10"/>
      <c r="J89" s="10"/>
      <c r="K89" s="10"/>
      <c r="L89" s="10"/>
      <c r="M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</row>
    <row r="90" spans="1:37" x14ac:dyDescent="0.25">
      <c r="A90" s="6">
        <v>6.3999999999999932</v>
      </c>
      <c r="B90" s="6"/>
      <c r="C90" s="6">
        <f t="shared" si="2"/>
        <v>3.3590268772049723</v>
      </c>
      <c r="D90" s="6"/>
      <c r="E90" s="10"/>
      <c r="F90" s="10"/>
      <c r="G90" s="10"/>
      <c r="H90" s="10"/>
      <c r="I90" s="10"/>
      <c r="J90" s="10"/>
      <c r="K90" s="10"/>
      <c r="L90" s="10"/>
      <c r="M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</row>
    <row r="91" spans="1:37" x14ac:dyDescent="0.25">
      <c r="A91" s="6">
        <v>6.4999999999999929</v>
      </c>
      <c r="B91" s="6"/>
      <c r="C91" s="6">
        <f t="shared" ref="C91:C126" si="3">LOG((10^$G$5)/(1+10^$G$2)*(10^(-1*(A91/$G$3)^$G$4+$G$2)+10^(-1*(A91/$G$6)^$G$4)))</f>
        <v>3.3485408828096914</v>
      </c>
      <c r="D91" s="6"/>
      <c r="E91" s="10"/>
      <c r="F91" s="10"/>
      <c r="G91" s="10"/>
      <c r="H91" s="10"/>
      <c r="I91" s="10"/>
      <c r="J91" s="10"/>
      <c r="K91" s="10"/>
      <c r="L91" s="10"/>
      <c r="M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</row>
    <row r="92" spans="1:37" x14ac:dyDescent="0.25">
      <c r="A92" s="6">
        <v>6.5999999999999925</v>
      </c>
      <c r="B92" s="6"/>
      <c r="C92" s="6">
        <f t="shared" si="3"/>
        <v>3.3380098010505952</v>
      </c>
      <c r="D92" s="6"/>
      <c r="E92" s="10"/>
      <c r="F92" s="10"/>
      <c r="G92" s="10"/>
      <c r="H92" s="10"/>
      <c r="I92" s="10"/>
      <c r="J92" s="10"/>
      <c r="K92" s="10"/>
      <c r="L92" s="10"/>
      <c r="M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</row>
    <row r="93" spans="1:37" x14ac:dyDescent="0.25">
      <c r="A93" s="6">
        <v>6.6999999999999922</v>
      </c>
      <c r="B93" s="6"/>
      <c r="C93" s="6">
        <f t="shared" si="3"/>
        <v>3.3274341225378414</v>
      </c>
      <c r="D93" s="6"/>
      <c r="E93" s="10"/>
      <c r="F93" s="10"/>
      <c r="G93" s="10"/>
      <c r="H93" s="10"/>
      <c r="I93" s="10"/>
      <c r="J93" s="10"/>
      <c r="K93" s="10"/>
      <c r="L93" s="10"/>
      <c r="M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</row>
    <row r="94" spans="1:37" x14ac:dyDescent="0.25">
      <c r="A94" s="6">
        <v>6.7999999999999918</v>
      </c>
      <c r="B94" s="6"/>
      <c r="C94" s="6">
        <f t="shared" si="3"/>
        <v>3.3168143261392196</v>
      </c>
      <c r="D94" s="6"/>
      <c r="E94" s="10"/>
      <c r="F94" s="10"/>
      <c r="G94" s="10"/>
      <c r="H94" s="10"/>
      <c r="I94" s="10"/>
      <c r="J94" s="10"/>
      <c r="K94" s="10"/>
      <c r="L94" s="10"/>
      <c r="M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</row>
    <row r="95" spans="1:37" x14ac:dyDescent="0.25">
      <c r="A95" s="6">
        <v>6.8999999999999915</v>
      </c>
      <c r="B95" s="6"/>
      <c r="C95" s="6">
        <f t="shared" si="3"/>
        <v>3.3061508791960659</v>
      </c>
      <c r="D95" s="6"/>
      <c r="E95" s="10"/>
      <c r="F95" s="10"/>
      <c r="G95" s="10"/>
      <c r="H95" s="10"/>
      <c r="I95" s="10"/>
      <c r="J95" s="10"/>
      <c r="K95" s="10"/>
      <c r="L95" s="10"/>
      <c r="M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</row>
    <row r="96" spans="1:37" x14ac:dyDescent="0.25">
      <c r="A96" s="6">
        <v>6.9999999999999911</v>
      </c>
      <c r="B96" s="6"/>
      <c r="C96" s="6">
        <f t="shared" si="3"/>
        <v>3.295444237799825</v>
      </c>
      <c r="D96" s="6"/>
      <c r="E96" s="10"/>
      <c r="F96" s="10"/>
      <c r="G96" s="10"/>
      <c r="H96" s="10"/>
      <c r="I96" s="10"/>
      <c r="J96" s="10"/>
      <c r="K96" s="10"/>
      <c r="L96" s="10"/>
      <c r="M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</row>
    <row r="97" spans="1:37" x14ac:dyDescent="0.25">
      <c r="A97" s="6">
        <v>7.0999999999999908</v>
      </c>
      <c r="B97" s="6"/>
      <c r="C97" s="6">
        <f t="shared" si="3"/>
        <v>3.2846948471049289</v>
      </c>
      <c r="D97" s="6"/>
      <c r="E97" s="10"/>
      <c r="F97" s="10"/>
      <c r="G97" s="10"/>
      <c r="H97" s="10"/>
      <c r="I97" s="10"/>
      <c r="J97" s="10"/>
      <c r="K97" s="10"/>
      <c r="L97" s="10"/>
      <c r="M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</row>
    <row r="98" spans="1:37" x14ac:dyDescent="0.25">
      <c r="A98" s="6">
        <v>7.1999999999999904</v>
      </c>
      <c r="B98" s="6"/>
      <c r="C98" s="6">
        <f t="shared" si="3"/>
        <v>3.2739031416612105</v>
      </c>
      <c r="D98" s="6"/>
      <c r="E98" s="10"/>
      <c r="F98" s="10"/>
      <c r="G98" s="10"/>
      <c r="H98" s="10"/>
      <c r="I98" s="10"/>
      <c r="J98" s="10"/>
      <c r="K98" s="10"/>
      <c r="L98" s="10"/>
      <c r="M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</row>
    <row r="99" spans="1:37" x14ac:dyDescent="0.25">
      <c r="A99" s="6">
        <v>7.2999999999999901</v>
      </c>
      <c r="B99" s="6"/>
      <c r="C99" s="6">
        <f t="shared" si="3"/>
        <v>3.2630695457543784</v>
      </c>
      <c r="D99" s="6"/>
      <c r="E99" s="10"/>
      <c r="F99" s="10"/>
      <c r="G99" s="10"/>
      <c r="H99" s="10"/>
      <c r="I99" s="10"/>
      <c r="J99" s="10"/>
      <c r="K99" s="10"/>
      <c r="L99" s="10"/>
      <c r="M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</row>
    <row r="100" spans="1:37" x14ac:dyDescent="0.25">
      <c r="A100" s="6">
        <v>7.3999999999999897</v>
      </c>
      <c r="B100" s="6"/>
      <c r="C100" s="6">
        <f t="shared" si="3"/>
        <v>3.2521944737468318</v>
      </c>
      <c r="D100" s="6"/>
      <c r="E100" s="10"/>
      <c r="F100" s="10"/>
      <c r="G100" s="10"/>
      <c r="H100" s="10"/>
      <c r="I100" s="10"/>
      <c r="J100" s="10"/>
      <c r="K100" s="10"/>
      <c r="L100" s="10"/>
      <c r="M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</row>
    <row r="101" spans="1:37" x14ac:dyDescent="0.25">
      <c r="A101" s="6">
        <v>7.4999999999999893</v>
      </c>
      <c r="B101" s="6"/>
      <c r="C101" s="6">
        <f t="shared" si="3"/>
        <v>3.2412783304137158</v>
      </c>
      <c r="D101" s="6"/>
      <c r="E101" s="10"/>
      <c r="F101" s="10"/>
      <c r="G101" s="10"/>
      <c r="H101" s="10"/>
      <c r="I101" s="10"/>
      <c r="J101" s="10"/>
      <c r="K101" s="10"/>
      <c r="L101" s="10"/>
      <c r="M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</row>
    <row r="102" spans="1:37" x14ac:dyDescent="0.25">
      <c r="A102" s="6">
        <v>7.599999999999989</v>
      </c>
      <c r="B102" s="6"/>
      <c r="C102" s="6">
        <f t="shared" si="3"/>
        <v>3.2303215112709309</v>
      </c>
      <c r="D102" s="6"/>
      <c r="E102" s="10"/>
      <c r="F102" s="10"/>
      <c r="G102" s="10"/>
      <c r="H102" s="10"/>
      <c r="I102" s="10"/>
      <c r="J102" s="10"/>
      <c r="K102" s="10"/>
      <c r="L102" s="10"/>
      <c r="M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</row>
    <row r="103" spans="1:37" x14ac:dyDescent="0.25">
      <c r="A103" s="6">
        <v>7.6999999999999886</v>
      </c>
      <c r="B103" s="6"/>
      <c r="C103" s="6">
        <f t="shared" si="3"/>
        <v>3.2193244028931001</v>
      </c>
      <c r="D103" s="6"/>
      <c r="E103" s="10"/>
      <c r="F103" s="10"/>
      <c r="G103" s="10"/>
      <c r="H103" s="10"/>
      <c r="I103" s="10"/>
      <c r="J103" s="10"/>
      <c r="K103" s="10"/>
      <c r="L103" s="10"/>
      <c r="M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</row>
    <row r="104" spans="1:37" x14ac:dyDescent="0.25">
      <c r="A104" s="6">
        <v>7.7999999999999883</v>
      </c>
      <c r="B104" s="6"/>
      <c r="C104" s="6">
        <f t="shared" si="3"/>
        <v>3.2082873832203398</v>
      </c>
      <c r="D104" s="6"/>
      <c r="E104" s="10"/>
      <c r="F104" s="10"/>
      <c r="G104" s="10"/>
      <c r="H104" s="10"/>
      <c r="I104" s="10"/>
      <c r="J104" s="10"/>
      <c r="K104" s="10"/>
      <c r="L104" s="10"/>
      <c r="M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</row>
    <row r="105" spans="1:37" x14ac:dyDescent="0.25">
      <c r="A105" s="6">
        <v>7.8999999999999879</v>
      </c>
      <c r="B105" s="6"/>
      <c r="C105" s="6">
        <f t="shared" si="3"/>
        <v>3.1972108218532855</v>
      </c>
      <c r="D105" s="6"/>
      <c r="E105" s="10"/>
      <c r="F105" s="10"/>
      <c r="G105" s="10"/>
      <c r="H105" s="10"/>
      <c r="I105" s="10"/>
      <c r="J105" s="10"/>
      <c r="K105" s="10"/>
      <c r="L105" s="10"/>
      <c r="M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</row>
    <row r="106" spans="1:37" x14ac:dyDescent="0.25">
      <c r="A106" s="6">
        <v>7.9999999999999876</v>
      </c>
      <c r="B106" s="6"/>
      <c r="C106" s="6">
        <f t="shared" si="3"/>
        <v>3.1860950803362185</v>
      </c>
      <c r="D106" s="6"/>
      <c r="E106" s="10"/>
      <c r="F106" s="10"/>
      <c r="G106" s="10"/>
      <c r="H106" s="10"/>
      <c r="I106" s="10"/>
      <c r="J106" s="10"/>
      <c r="K106" s="10"/>
      <c r="L106" s="10"/>
      <c r="M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</row>
    <row r="107" spans="1:37" x14ac:dyDescent="0.25">
      <c r="A107" s="6">
        <v>8.0999999999999872</v>
      </c>
      <c r="B107" s="6"/>
      <c r="C107" s="6">
        <f t="shared" si="3"/>
        <v>3.1749405124283956</v>
      </c>
      <c r="D107" s="6"/>
      <c r="E107" s="10"/>
      <c r="F107" s="10"/>
      <c r="G107" s="10"/>
      <c r="H107" s="10"/>
      <c r="I107" s="10"/>
      <c r="J107" s="10"/>
      <c r="K107" s="10"/>
      <c r="L107" s="10"/>
      <c r="M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</row>
    <row r="108" spans="1:37" x14ac:dyDescent="0.25">
      <c r="A108" s="6">
        <v>8.1999999999999869</v>
      </c>
      <c r="B108" s="6"/>
      <c r="C108" s="6">
        <f t="shared" si="3"/>
        <v>3.1637474643638579</v>
      </c>
      <c r="D108" s="6"/>
      <c r="E108" s="10"/>
      <c r="F108" s="10"/>
      <c r="G108" s="10"/>
      <c r="H108" s="10"/>
      <c r="I108" s="10"/>
      <c r="J108" s="10"/>
      <c r="K108" s="10"/>
      <c r="L108" s="10"/>
      <c r="M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</row>
    <row r="109" spans="1:37" x14ac:dyDescent="0.25">
      <c r="A109" s="6">
        <v>8.2999999999999865</v>
      </c>
      <c r="B109" s="6"/>
      <c r="C109" s="6">
        <f t="shared" si="3"/>
        <v>3.1525162751000937</v>
      </c>
      <c r="D109" s="6"/>
      <c r="E109" s="10"/>
      <c r="F109" s="10"/>
      <c r="G109" s="10"/>
      <c r="H109" s="10"/>
      <c r="I109" s="10"/>
      <c r="J109" s="10"/>
      <c r="K109" s="10"/>
      <c r="L109" s="10"/>
      <c r="M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</row>
    <row r="110" spans="1:37" x14ac:dyDescent="0.25">
      <c r="A110" s="6">
        <v>8.3999999999999861</v>
      </c>
      <c r="B110" s="6"/>
      <c r="C110" s="6">
        <f t="shared" si="3"/>
        <v>3.1412472765559878</v>
      </c>
      <c r="D110" s="6"/>
      <c r="E110" s="10"/>
      <c r="F110" s="10"/>
      <c r="G110" s="10"/>
      <c r="H110" s="10"/>
      <c r="I110" s="10"/>
      <c r="J110" s="10"/>
      <c r="K110" s="10"/>
      <c r="L110" s="10"/>
      <c r="M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</row>
    <row r="111" spans="1:37" x14ac:dyDescent="0.25">
      <c r="A111" s="6">
        <v>8.4999999999999858</v>
      </c>
      <c r="B111" s="6"/>
      <c r="C111" s="6">
        <f t="shared" si="3"/>
        <v>3.1299407938395305</v>
      </c>
      <c r="D111" s="6"/>
      <c r="E111" s="10"/>
      <c r="F111" s="10"/>
      <c r="G111" s="10"/>
      <c r="H111" s="10"/>
      <c r="I111" s="10"/>
      <c r="J111" s="10"/>
      <c r="K111" s="10"/>
      <c r="L111" s="10"/>
      <c r="M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</row>
    <row r="112" spans="1:37" x14ac:dyDescent="0.25">
      <c r="A112" s="6">
        <v>8.5999999999999854</v>
      </c>
      <c r="B112" s="6"/>
      <c r="C112" s="6">
        <f t="shared" si="3"/>
        <v>3.11859714546575</v>
      </c>
      <c r="D112" s="6"/>
      <c r="E112" s="10"/>
      <c r="F112" s="10"/>
      <c r="G112" s="10"/>
      <c r="H112" s="10"/>
      <c r="I112" s="10"/>
      <c r="J112" s="10"/>
      <c r="K112" s="10"/>
      <c r="L112" s="10"/>
      <c r="M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</row>
    <row r="113" spans="1:37" x14ac:dyDescent="0.25">
      <c r="A113" s="6">
        <v>8.6999999999999851</v>
      </c>
      <c r="B113" s="6"/>
      <c r="C113" s="6">
        <f t="shared" si="3"/>
        <v>3.1072166435653523</v>
      </c>
      <c r="D113" s="6"/>
      <c r="E113" s="10"/>
      <c r="F113" s="10"/>
      <c r="G113" s="10"/>
      <c r="H113" s="10"/>
      <c r="I113" s="10"/>
      <c r="J113" s="10"/>
      <c r="K113" s="10"/>
      <c r="L113" s="10"/>
      <c r="M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</row>
    <row r="114" spans="1:37" x14ac:dyDescent="0.25">
      <c r="A114" s="6">
        <v>8.7999999999999847</v>
      </c>
      <c r="B114" s="6"/>
      <c r="C114" s="6">
        <f t="shared" si="3"/>
        <v>3.0957995940845158</v>
      </c>
      <c r="D114" s="6"/>
      <c r="E114" s="10"/>
      <c r="F114" s="10"/>
      <c r="G114" s="10"/>
      <c r="H114" s="10"/>
      <c r="I114" s="10"/>
      <c r="J114" s="10"/>
      <c r="K114" s="10"/>
      <c r="L114" s="10"/>
      <c r="M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</row>
    <row r="115" spans="1:37" x14ac:dyDescent="0.25">
      <c r="A115" s="6">
        <v>8.8999999999999844</v>
      </c>
      <c r="B115" s="6"/>
      <c r="C115" s="6">
        <f t="shared" si="3"/>
        <v>3.0843462969762978</v>
      </c>
      <c r="D115" s="6"/>
      <c r="E115" s="10"/>
      <c r="F115" s="10"/>
      <c r="G115" s="10"/>
      <c r="H115" s="10"/>
      <c r="I115" s="10"/>
      <c r="J115" s="10"/>
      <c r="K115" s="10"/>
      <c r="L115" s="10"/>
      <c r="M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</row>
    <row r="116" spans="1:37" x14ac:dyDescent="0.25">
      <c r="A116" s="6">
        <v>8.999999999999984</v>
      </c>
      <c r="B116" s="6"/>
      <c r="C116" s="6">
        <f t="shared" si="3"/>
        <v>3.0728570463840694</v>
      </c>
      <c r="D116" s="6"/>
      <c r="E116" s="10"/>
      <c r="F116" s="10"/>
      <c r="G116" s="10"/>
      <c r="H116" s="10"/>
      <c r="I116" s="10"/>
      <c r="J116" s="10"/>
      <c r="K116" s="10"/>
      <c r="L116" s="10"/>
      <c r="M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</row>
    <row r="117" spans="1:37" x14ac:dyDescent="0.25">
      <c r="A117" s="6">
        <v>9.0999999999999837</v>
      </c>
      <c r="B117" s="6"/>
      <c r="C117" s="6">
        <f t="shared" si="3"/>
        <v>3.0613321308173833</v>
      </c>
      <c r="D117" s="6"/>
      <c r="E117" s="10"/>
      <c r="F117" s="10"/>
      <c r="G117" s="10"/>
      <c r="H117" s="10"/>
      <c r="I117" s="10"/>
      <c r="J117" s="10"/>
      <c r="K117" s="10"/>
      <c r="L117" s="10"/>
      <c r="M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</row>
    <row r="118" spans="1:37" x14ac:dyDescent="0.25">
      <c r="A118" s="6">
        <v>9.1999999999999833</v>
      </c>
      <c r="B118" s="6"/>
      <c r="C118" s="6">
        <f t="shared" si="3"/>
        <v>3.0497718333206629</v>
      </c>
      <c r="D118" s="6"/>
      <c r="E118" s="10"/>
      <c r="F118" s="10"/>
      <c r="G118" s="10"/>
      <c r="H118" s="10"/>
      <c r="I118" s="10"/>
      <c r="J118" s="10"/>
      <c r="K118" s="10"/>
      <c r="L118" s="10"/>
      <c r="M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</row>
    <row r="119" spans="1:37" x14ac:dyDescent="0.25">
      <c r="A119" s="6">
        <v>9.2999999999999829</v>
      </c>
      <c r="B119" s="6"/>
      <c r="C119" s="6">
        <f t="shared" si="3"/>
        <v>3.0381764316350717</v>
      </c>
      <c r="D119" s="6"/>
      <c r="E119" s="10"/>
      <c r="F119" s="10"/>
      <c r="G119" s="10"/>
      <c r="H119" s="10"/>
      <c r="I119" s="10"/>
      <c r="J119" s="10"/>
      <c r="K119" s="10"/>
      <c r="L119" s="10"/>
      <c r="M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</row>
    <row r="120" spans="1:37" x14ac:dyDescent="0.25">
      <c r="A120" s="6">
        <v>9.3999999999999826</v>
      </c>
      <c r="B120" s="6"/>
      <c r="C120" s="6">
        <f t="shared" si="3"/>
        <v>3.0265461983539037</v>
      </c>
      <c r="D120" s="6"/>
      <c r="E120" s="10"/>
      <c r="F120" s="10"/>
      <c r="G120" s="10"/>
      <c r="H120" s="10"/>
      <c r="I120" s="10"/>
      <c r="J120" s="10"/>
      <c r="K120" s="10"/>
      <c r="L120" s="10"/>
      <c r="M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</row>
    <row r="121" spans="1:37" x14ac:dyDescent="0.25">
      <c r="A121" s="6">
        <v>9.4999999999999822</v>
      </c>
      <c r="B121" s="6"/>
      <c r="C121" s="6">
        <f t="shared" si="3"/>
        <v>3.0148814010718206</v>
      </c>
      <c r="D121" s="6"/>
      <c r="E121" s="10"/>
      <c r="F121" s="10"/>
      <c r="G121" s="10"/>
      <c r="H121" s="10"/>
      <c r="I121" s="10"/>
      <c r="J121" s="10"/>
      <c r="K121" s="10"/>
      <c r="L121" s="10"/>
      <c r="M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</row>
    <row r="122" spans="1:37" x14ac:dyDescent="0.25">
      <c r="A122" s="6">
        <v>9.5999999999999819</v>
      </c>
      <c r="B122" s="6"/>
      <c r="C122" s="6">
        <f t="shared" si="3"/>
        <v>3.0031823025282391</v>
      </c>
      <c r="D122" s="6"/>
      <c r="E122" s="10"/>
      <c r="F122" s="10"/>
      <c r="G122" s="10"/>
      <c r="H122" s="10"/>
      <c r="I122" s="10"/>
      <c r="J122" s="10"/>
      <c r="K122" s="10"/>
      <c r="L122" s="10"/>
      <c r="M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</row>
    <row r="123" spans="1:37" x14ac:dyDescent="0.25">
      <c r="A123" s="6">
        <v>9.6999999999999815</v>
      </c>
      <c r="B123" s="6"/>
      <c r="C123" s="6">
        <f t="shared" si="3"/>
        <v>2.9914491607451552</v>
      </c>
      <c r="D123" s="6"/>
      <c r="E123" s="10"/>
      <c r="F123" s="10"/>
      <c r="G123" s="10"/>
      <c r="H123" s="10"/>
      <c r="I123" s="10"/>
      <c r="J123" s="10"/>
      <c r="K123" s="10"/>
      <c r="L123" s="10"/>
      <c r="M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</row>
    <row r="124" spans="1:37" x14ac:dyDescent="0.25">
      <c r="A124" s="6">
        <v>9.7999999999999812</v>
      </c>
      <c r="B124" s="6"/>
      <c r="C124" s="6">
        <f t="shared" si="3"/>
        <v>2.9796822291596721</v>
      </c>
      <c r="D124" s="6"/>
      <c r="E124" s="10"/>
      <c r="F124" s="10"/>
      <c r="G124" s="10"/>
      <c r="H124" s="10"/>
      <c r="I124" s="10"/>
      <c r="J124" s="10"/>
      <c r="K124" s="10"/>
      <c r="L124" s="10"/>
      <c r="M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</row>
    <row r="125" spans="1:37" x14ac:dyDescent="0.25">
      <c r="A125" s="6">
        <v>9.8999999999999808</v>
      </c>
      <c r="B125" s="6"/>
      <c r="C125" s="6">
        <f t="shared" si="3"/>
        <v>2.9678817567514946</v>
      </c>
      <c r="D125" s="6"/>
      <c r="E125" s="10"/>
      <c r="F125" s="10"/>
      <c r="G125" s="10"/>
      <c r="H125" s="10"/>
      <c r="I125" s="10"/>
      <c r="J125" s="10"/>
      <c r="K125" s="10"/>
      <c r="L125" s="10"/>
      <c r="M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</row>
    <row r="126" spans="1:37" x14ac:dyDescent="0.25">
      <c r="A126" s="6">
        <v>9.9999999999999805</v>
      </c>
      <c r="B126" s="6"/>
      <c r="C126" s="6">
        <f t="shared" si="3"/>
        <v>2.9560479881656208</v>
      </c>
      <c r="D126" s="6"/>
      <c r="E126" s="10"/>
      <c r="F126" s="10"/>
      <c r="G126" s="10"/>
      <c r="H126" s="10"/>
      <c r="I126" s="10"/>
      <c r="J126" s="10"/>
      <c r="K126" s="10"/>
      <c r="L126" s="10"/>
      <c r="M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</row>
  </sheetData>
  <mergeCells count="1">
    <mergeCell ref="F12:L1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80" zoomScaleNormal="80" workbookViewId="0">
      <selection sqref="A1:F22"/>
    </sheetView>
  </sheetViews>
  <sheetFormatPr defaultRowHeight="15" x14ac:dyDescent="0.25"/>
  <cols>
    <col min="1" max="1" width="9.140625" style="8"/>
    <col min="2" max="2" width="10.5703125" style="8" bestFit="1" customWidth="1"/>
    <col min="3" max="3" width="11.7109375" style="8" bestFit="1" customWidth="1"/>
    <col min="4" max="4" width="13.7109375" style="8" bestFit="1" customWidth="1"/>
    <col min="5" max="6" width="9.140625" style="8"/>
    <col min="7" max="16384" width="9.140625" style="9"/>
  </cols>
  <sheetData>
    <row r="1" spans="1:6" x14ac:dyDescent="0.25">
      <c r="A1" s="8" t="s">
        <v>4</v>
      </c>
      <c r="B1" s="8" t="s">
        <v>5</v>
      </c>
      <c r="C1" s="8" t="s">
        <v>38</v>
      </c>
      <c r="D1" s="8" t="s">
        <v>39</v>
      </c>
      <c r="E1" s="8" t="s">
        <v>6</v>
      </c>
      <c r="F1" s="8" t="s">
        <v>3</v>
      </c>
    </row>
    <row r="2" spans="1:6" x14ac:dyDescent="0.25">
      <c r="A2" s="8">
        <v>13136</v>
      </c>
      <c r="B2" s="8" t="s">
        <v>0</v>
      </c>
      <c r="C2" s="8" t="s">
        <v>42</v>
      </c>
      <c r="D2" s="8" t="s">
        <v>41</v>
      </c>
      <c r="E2" s="6">
        <v>0</v>
      </c>
      <c r="F2" s="17">
        <f>LOG10(2*10^5)</f>
        <v>5.3010299956639813</v>
      </c>
    </row>
    <row r="3" spans="1:6" x14ac:dyDescent="0.25">
      <c r="A3" s="8">
        <v>13136</v>
      </c>
      <c r="B3" s="8" t="s">
        <v>0</v>
      </c>
      <c r="C3" s="8" t="s">
        <v>42</v>
      </c>
      <c r="D3" s="8" t="s">
        <v>41</v>
      </c>
      <c r="E3" s="6">
        <v>1</v>
      </c>
      <c r="F3" s="17">
        <f>LOG10(8.7*10^4)</f>
        <v>4.9395192526186182</v>
      </c>
    </row>
    <row r="4" spans="1:6" x14ac:dyDescent="0.25">
      <c r="A4" s="8">
        <v>13136</v>
      </c>
      <c r="B4" s="8" t="s">
        <v>0</v>
      </c>
      <c r="C4" s="8" t="s">
        <v>42</v>
      </c>
      <c r="D4" s="8" t="s">
        <v>41</v>
      </c>
      <c r="E4" s="6">
        <v>2</v>
      </c>
      <c r="F4" s="17">
        <f>LOG10(7*10^3)</f>
        <v>3.8450980400142569</v>
      </c>
    </row>
    <row r="5" spans="1:6" x14ac:dyDescent="0.25">
      <c r="A5" s="8">
        <v>13136</v>
      </c>
      <c r="B5" s="8" t="s">
        <v>0</v>
      </c>
      <c r="C5" s="8" t="s">
        <v>42</v>
      </c>
      <c r="D5" s="8" t="s">
        <v>41</v>
      </c>
      <c r="E5" s="6">
        <v>4</v>
      </c>
      <c r="F5" s="17">
        <f>LOG10(7.7*10^3)</f>
        <v>3.8864907251724818</v>
      </c>
    </row>
    <row r="6" spans="1:6" x14ac:dyDescent="0.25">
      <c r="A6" s="8">
        <v>13136</v>
      </c>
      <c r="B6" s="8" t="s">
        <v>0</v>
      </c>
      <c r="C6" s="8" t="s">
        <v>42</v>
      </c>
      <c r="D6" s="8" t="s">
        <v>41</v>
      </c>
      <c r="E6" s="6">
        <v>6</v>
      </c>
      <c r="F6" s="17">
        <f>LOG10(5.3*10^3)</f>
        <v>3.7242758696007892</v>
      </c>
    </row>
    <row r="7" spans="1:6" x14ac:dyDescent="0.25">
      <c r="A7" s="8">
        <v>13136</v>
      </c>
      <c r="B7" s="8" t="s">
        <v>0</v>
      </c>
      <c r="C7" s="8" t="s">
        <v>42</v>
      </c>
      <c r="D7" s="8" t="s">
        <v>41</v>
      </c>
      <c r="E7" s="6">
        <v>8</v>
      </c>
      <c r="F7" s="17">
        <f>LOG10(4.15*10^2)</f>
        <v>2.6180480967120929</v>
      </c>
    </row>
    <row r="8" spans="1:6" x14ac:dyDescent="0.25">
      <c r="A8" s="8">
        <v>13136</v>
      </c>
      <c r="B8" s="8" t="s">
        <v>0</v>
      </c>
      <c r="C8" s="8" t="s">
        <v>42</v>
      </c>
      <c r="D8" s="8" t="s">
        <v>41</v>
      </c>
      <c r="E8" s="6">
        <v>10</v>
      </c>
      <c r="F8" s="17">
        <f>LOG10(4*10^2)</f>
        <v>2.6020599913279625</v>
      </c>
    </row>
    <row r="9" spans="1:6" x14ac:dyDescent="0.25">
      <c r="A9" s="8">
        <v>13136</v>
      </c>
      <c r="B9" s="8" t="s">
        <v>1</v>
      </c>
      <c r="C9" s="8" t="s">
        <v>42</v>
      </c>
      <c r="D9" s="8" t="s">
        <v>41</v>
      </c>
      <c r="E9" s="6">
        <v>0</v>
      </c>
      <c r="F9" s="17">
        <f>LOG10(4*10^5)</f>
        <v>5.6020599913279625</v>
      </c>
    </row>
    <row r="10" spans="1:6" x14ac:dyDescent="0.25">
      <c r="A10" s="8">
        <v>13136</v>
      </c>
      <c r="B10" s="8" t="s">
        <v>1</v>
      </c>
      <c r="C10" s="8" t="s">
        <v>42</v>
      </c>
      <c r="D10" s="8" t="s">
        <v>41</v>
      </c>
      <c r="E10" s="6">
        <v>1</v>
      </c>
      <c r="F10" s="17">
        <f>LOG10(1.23*10^4)</f>
        <v>4.0899051114393981</v>
      </c>
    </row>
    <row r="11" spans="1:6" x14ac:dyDescent="0.25">
      <c r="A11" s="8">
        <v>13136</v>
      </c>
      <c r="B11" s="8" t="s">
        <v>1</v>
      </c>
      <c r="C11" s="8" t="s">
        <v>42</v>
      </c>
      <c r="D11" s="8" t="s">
        <v>41</v>
      </c>
      <c r="E11" s="6">
        <v>2</v>
      </c>
      <c r="F11" s="17">
        <f>LOG10(1.53*10^4)</f>
        <v>4.1846914308175984</v>
      </c>
    </row>
    <row r="12" spans="1:6" x14ac:dyDescent="0.25">
      <c r="A12" s="8">
        <v>13136</v>
      </c>
      <c r="B12" s="8" t="s">
        <v>1</v>
      </c>
      <c r="C12" s="8" t="s">
        <v>42</v>
      </c>
      <c r="D12" s="8" t="s">
        <v>41</v>
      </c>
      <c r="E12" s="6">
        <v>4</v>
      </c>
      <c r="F12" s="17">
        <f>LOG10(9*10^2)</f>
        <v>2.9542425094393248</v>
      </c>
    </row>
    <row r="13" spans="1:6" x14ac:dyDescent="0.25">
      <c r="A13" s="8">
        <v>13136</v>
      </c>
      <c r="B13" s="8" t="s">
        <v>1</v>
      </c>
      <c r="C13" s="8" t="s">
        <v>42</v>
      </c>
      <c r="D13" s="8" t="s">
        <v>41</v>
      </c>
      <c r="E13" s="6">
        <v>6</v>
      </c>
      <c r="F13" s="17">
        <f>LOG10(1.53*10^3)</f>
        <v>3.1846914308175989</v>
      </c>
    </row>
    <row r="14" spans="1:6" x14ac:dyDescent="0.25">
      <c r="A14" s="8">
        <v>13136</v>
      </c>
      <c r="B14" s="8" t="s">
        <v>1</v>
      </c>
      <c r="C14" s="8" t="s">
        <v>42</v>
      </c>
      <c r="D14" s="8" t="s">
        <v>41</v>
      </c>
      <c r="E14" s="6">
        <v>8</v>
      </c>
      <c r="F14" s="17">
        <f>LOG10(3.35*10^2)</f>
        <v>2.5250448070368452</v>
      </c>
    </row>
    <row r="15" spans="1:6" x14ac:dyDescent="0.25">
      <c r="A15" s="8">
        <v>13136</v>
      </c>
      <c r="B15" s="8" t="s">
        <v>1</v>
      </c>
      <c r="C15" s="8" t="s">
        <v>42</v>
      </c>
      <c r="D15" s="8" t="s">
        <v>41</v>
      </c>
      <c r="E15" s="6">
        <v>10</v>
      </c>
      <c r="F15" s="17">
        <f>LOG10(5*10^2)</f>
        <v>2.6989700043360187</v>
      </c>
    </row>
    <row r="16" spans="1:6" x14ac:dyDescent="0.25">
      <c r="A16" s="8">
        <v>13136</v>
      </c>
      <c r="B16" s="8" t="s">
        <v>2</v>
      </c>
      <c r="C16" s="8" t="s">
        <v>42</v>
      </c>
      <c r="D16" s="8" t="s">
        <v>41</v>
      </c>
      <c r="E16" s="6">
        <v>0</v>
      </c>
      <c r="F16" s="17">
        <f>LOG10(2.7*10^5)</f>
        <v>5.4313637641589869</v>
      </c>
    </row>
    <row r="17" spans="1:6" x14ac:dyDescent="0.25">
      <c r="A17" s="8">
        <v>13136</v>
      </c>
      <c r="B17" s="8" t="s">
        <v>2</v>
      </c>
      <c r="C17" s="8" t="s">
        <v>42</v>
      </c>
      <c r="D17" s="8" t="s">
        <v>41</v>
      </c>
      <c r="E17" s="6">
        <v>1</v>
      </c>
      <c r="F17" s="17">
        <f>LOG10(1*10^5)</f>
        <v>5</v>
      </c>
    </row>
    <row r="18" spans="1:6" x14ac:dyDescent="0.25">
      <c r="A18" s="8">
        <v>13136</v>
      </c>
      <c r="B18" s="8" t="s">
        <v>2</v>
      </c>
      <c r="C18" s="8" t="s">
        <v>42</v>
      </c>
      <c r="D18" s="8" t="s">
        <v>41</v>
      </c>
      <c r="E18" s="6">
        <v>2</v>
      </c>
      <c r="F18" s="17">
        <f>LOG10(6.7*10^3)</f>
        <v>3.8260748027008264</v>
      </c>
    </row>
    <row r="19" spans="1:6" x14ac:dyDescent="0.25">
      <c r="A19" s="8">
        <v>13136</v>
      </c>
      <c r="B19" s="8" t="s">
        <v>2</v>
      </c>
      <c r="C19" s="8" t="s">
        <v>42</v>
      </c>
      <c r="D19" s="8" t="s">
        <v>41</v>
      </c>
      <c r="E19" s="6">
        <v>4</v>
      </c>
      <c r="F19" s="17">
        <f>LOG10(3.7*10^3)</f>
        <v>3.568201724066995</v>
      </c>
    </row>
    <row r="20" spans="1:6" x14ac:dyDescent="0.25">
      <c r="A20" s="8">
        <v>13136</v>
      </c>
      <c r="B20" s="8" t="s">
        <v>2</v>
      </c>
      <c r="C20" s="8" t="s">
        <v>42</v>
      </c>
      <c r="D20" s="8" t="s">
        <v>41</v>
      </c>
      <c r="E20" s="6">
        <v>6</v>
      </c>
      <c r="F20" s="17">
        <f>LOG10(1.43*10^4)</f>
        <v>4.1553360374650614</v>
      </c>
    </row>
    <row r="21" spans="1:6" x14ac:dyDescent="0.25">
      <c r="A21" s="8">
        <v>13136</v>
      </c>
      <c r="B21" s="8" t="s">
        <v>2</v>
      </c>
      <c r="C21" s="8" t="s">
        <v>42</v>
      </c>
      <c r="D21" s="8" t="s">
        <v>41</v>
      </c>
      <c r="E21" s="6">
        <v>8</v>
      </c>
      <c r="F21" s="17">
        <f>LOG10(5.5*10^3)</f>
        <v>3.7403626894942437</v>
      </c>
    </row>
    <row r="22" spans="1:6" x14ac:dyDescent="0.25">
      <c r="A22" s="8">
        <v>13136</v>
      </c>
      <c r="B22" s="8" t="s">
        <v>2</v>
      </c>
      <c r="C22" s="8" t="s">
        <v>42</v>
      </c>
      <c r="D22" s="8" t="s">
        <v>41</v>
      </c>
      <c r="E22" s="6">
        <v>10</v>
      </c>
      <c r="F22" s="17">
        <f>LOG10(5.5*10^3)</f>
        <v>3.7403626894942437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6"/>
  <sheetViews>
    <sheetView zoomScale="80" zoomScaleNormal="80" workbookViewId="0">
      <selection activeCell="C14" sqref="C13:C14"/>
    </sheetView>
  </sheetViews>
  <sheetFormatPr defaultRowHeight="15" x14ac:dyDescent="0.25"/>
  <cols>
    <col min="1" max="1" width="9.140625" style="8"/>
    <col min="2" max="3" width="9.85546875" style="8" customWidth="1"/>
    <col min="4" max="4" width="9.140625" style="8"/>
    <col min="5" max="5" width="9.140625" style="9"/>
    <col min="6" max="6" width="13.28515625" style="9" bestFit="1" customWidth="1"/>
    <col min="7" max="16384" width="9.140625" style="9"/>
  </cols>
  <sheetData>
    <row r="1" spans="1:37" ht="24" customHeight="1" x14ac:dyDescent="0.25">
      <c r="A1" s="7" t="s">
        <v>6</v>
      </c>
      <c r="B1" s="5" t="s">
        <v>7</v>
      </c>
      <c r="C1" s="5" t="s">
        <v>8</v>
      </c>
      <c r="D1" s="7" t="s">
        <v>9</v>
      </c>
      <c r="E1" s="10"/>
      <c r="F1" s="2" t="s">
        <v>11</v>
      </c>
      <c r="G1" s="2" t="s">
        <v>12</v>
      </c>
      <c r="H1" s="2" t="s">
        <v>19</v>
      </c>
      <c r="I1" s="10"/>
      <c r="K1" s="10"/>
      <c r="L1" s="10"/>
      <c r="M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37" x14ac:dyDescent="0.25">
      <c r="A2" s="6">
        <v>0</v>
      </c>
      <c r="B2" s="6">
        <v>5.7781512503836439</v>
      </c>
      <c r="C2" s="6">
        <f t="shared" ref="C2:C22" si="0" xml:space="preserve"> LOG((10^$G$5 - 10^$G$4) * EXP(-$G$3 *A2 )  + 10^$G$4)</f>
        <v>5.6938202494172048</v>
      </c>
      <c r="D2" s="6">
        <f t="shared" ref="D2:D22" si="1" xml:space="preserve"> (B2 - C2)^2</f>
        <v>7.1117177240015497E-3</v>
      </c>
      <c r="E2" s="10"/>
      <c r="F2" s="10"/>
      <c r="G2" s="10"/>
      <c r="H2" s="10"/>
      <c r="I2" s="10"/>
      <c r="J2" s="10"/>
      <c r="K2" s="10"/>
      <c r="L2" s="4" t="s">
        <v>20</v>
      </c>
      <c r="M2" s="18">
        <v>8.4909723094057657E-2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x14ac:dyDescent="0.25">
      <c r="A3" s="6">
        <v>1</v>
      </c>
      <c r="B3" s="6">
        <v>4.3979400086720375</v>
      </c>
      <c r="C3" s="6">
        <f t="shared" si="0"/>
        <v>4.3690830771919673</v>
      </c>
      <c r="D3" s="6">
        <f t="shared" si="1"/>
        <v>8.3272249444546541E-4</v>
      </c>
      <c r="E3" s="10"/>
      <c r="F3" s="10" t="s">
        <v>13</v>
      </c>
      <c r="G3" s="18">
        <v>4.2152977677775798</v>
      </c>
      <c r="H3" s="18">
        <v>1.4090539537695765</v>
      </c>
      <c r="I3" s="10"/>
      <c r="J3" s="10"/>
      <c r="K3" s="10"/>
      <c r="L3" s="4" t="s">
        <v>23</v>
      </c>
      <c r="M3" s="18">
        <f>SQRT(M2)</f>
        <v>0.29139272999520366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x14ac:dyDescent="0.25">
      <c r="A4" s="6">
        <v>2</v>
      </c>
      <c r="B4" s="6">
        <v>3.8864907251724818</v>
      </c>
      <c r="C4" s="6">
        <f t="shared" si="0"/>
        <v>4.2159385008987593</v>
      </c>
      <c r="D4" s="6">
        <f t="shared" si="1"/>
        <v>0.10853583693099163</v>
      </c>
      <c r="E4" s="10"/>
      <c r="F4" s="10" t="s">
        <v>24</v>
      </c>
      <c r="G4" s="18">
        <v>4.2131773990373924</v>
      </c>
      <c r="H4" s="18">
        <v>7.5780223296726582E-2</v>
      </c>
      <c r="I4" s="10"/>
      <c r="J4" s="10"/>
      <c r="K4" s="10"/>
      <c r="L4" s="4" t="s">
        <v>21</v>
      </c>
      <c r="M4" s="18">
        <v>0.782478164293402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 x14ac:dyDescent="0.25">
      <c r="A5" s="6">
        <v>4</v>
      </c>
      <c r="B5" s="6">
        <v>3.6720978579357175</v>
      </c>
      <c r="C5" s="6">
        <f t="shared" si="0"/>
        <v>4.2131780031282862</v>
      </c>
      <c r="D5" s="6">
        <f t="shared" si="1"/>
        <v>0.29276772352161118</v>
      </c>
      <c r="E5" s="10"/>
      <c r="F5" s="10" t="s">
        <v>14</v>
      </c>
      <c r="G5" s="18">
        <v>5.6938202494172039</v>
      </c>
      <c r="H5" s="18">
        <v>0.16823274464031684</v>
      </c>
      <c r="I5" s="10"/>
      <c r="J5" s="10"/>
      <c r="K5" s="10"/>
      <c r="L5" s="4" t="s">
        <v>22</v>
      </c>
      <c r="M5" s="18">
        <v>0.75830907143711335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pans="1:37" x14ac:dyDescent="0.25">
      <c r="A6" s="6">
        <v>6</v>
      </c>
      <c r="B6" s="6">
        <v>4.3483048630481607</v>
      </c>
      <c r="C6" s="6">
        <f t="shared" si="0"/>
        <v>4.2131773991691404</v>
      </c>
      <c r="D6" s="6">
        <f t="shared" si="1"/>
        <v>1.8259431494375936E-2</v>
      </c>
      <c r="E6" s="10"/>
      <c r="F6" s="10"/>
      <c r="G6" s="10"/>
      <c r="H6" s="10"/>
      <c r="I6" s="10"/>
      <c r="J6" s="10"/>
      <c r="K6" s="10"/>
      <c r="L6" s="10"/>
      <c r="M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x14ac:dyDescent="0.25">
      <c r="A7" s="6">
        <v>8</v>
      </c>
      <c r="B7" s="6">
        <v>4.3324384599156049</v>
      </c>
      <c r="C7" s="6">
        <f t="shared" si="0"/>
        <v>4.2131773990374217</v>
      </c>
      <c r="D7" s="6">
        <f t="shared" si="1"/>
        <v>1.4223200641789726E-2</v>
      </c>
      <c r="E7" s="10"/>
      <c r="F7" s="2" t="s">
        <v>25</v>
      </c>
      <c r="G7" s="10"/>
      <c r="H7" s="10"/>
      <c r="I7" s="10"/>
      <c r="J7" s="10"/>
      <c r="K7" s="10"/>
      <c r="L7" s="10"/>
      <c r="M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1:37" x14ac:dyDescent="0.25">
      <c r="A8" s="6">
        <v>10</v>
      </c>
      <c r="B8" s="6">
        <v>3.6020599913279625</v>
      </c>
      <c r="C8" s="6">
        <f t="shared" si="0"/>
        <v>4.2131773990373924</v>
      </c>
      <c r="D8" s="6">
        <f t="shared" si="1"/>
        <v>0.37346448600549359</v>
      </c>
      <c r="E8" s="10"/>
      <c r="F8" s="10" t="s">
        <v>29</v>
      </c>
      <c r="G8" s="10"/>
      <c r="H8" s="10"/>
      <c r="I8" s="10"/>
      <c r="J8" s="10"/>
      <c r="K8" s="10"/>
      <c r="L8" s="10"/>
      <c r="M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1:37" x14ac:dyDescent="0.25">
      <c r="A9" s="6">
        <v>0</v>
      </c>
      <c r="B9" s="6">
        <v>5.826074802700826</v>
      </c>
      <c r="C9" s="6">
        <f t="shared" si="0"/>
        <v>5.6938202494172048</v>
      </c>
      <c r="D9" s="6">
        <f t="shared" si="1"/>
        <v>1.7491266864250208E-2</v>
      </c>
      <c r="E9" s="10"/>
      <c r="F9" s="2" t="s">
        <v>28</v>
      </c>
      <c r="G9" s="10"/>
      <c r="H9" s="10"/>
      <c r="I9" s="10"/>
      <c r="J9" s="10"/>
      <c r="K9" s="10"/>
      <c r="L9" s="10"/>
      <c r="M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1:37" x14ac:dyDescent="0.25">
      <c r="A10" s="6">
        <v>1</v>
      </c>
      <c r="B10" s="6">
        <v>4.3483048630481607</v>
      </c>
      <c r="C10" s="6">
        <f t="shared" si="0"/>
        <v>4.3690830771919673</v>
      </c>
      <c r="D10" s="6">
        <f t="shared" si="1"/>
        <v>4.3173418300588673E-4</v>
      </c>
      <c r="E10" s="10"/>
      <c r="F10" s="10" t="s">
        <v>30</v>
      </c>
      <c r="G10" s="10"/>
      <c r="H10" s="10"/>
      <c r="I10" s="10"/>
      <c r="J10" s="10"/>
      <c r="K10" s="10"/>
      <c r="L10" s="10"/>
      <c r="M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spans="1:37" x14ac:dyDescent="0.25">
      <c r="A11" s="6">
        <v>2</v>
      </c>
      <c r="B11" s="6">
        <v>4.1760912590556813</v>
      </c>
      <c r="C11" s="6">
        <f t="shared" si="0"/>
        <v>4.2159385008987593</v>
      </c>
      <c r="D11" s="6">
        <f t="shared" si="1"/>
        <v>1.5878026825007442E-3</v>
      </c>
      <c r="E11" s="10"/>
      <c r="F11" s="2" t="s">
        <v>26</v>
      </c>
      <c r="G11" s="10"/>
      <c r="H11" s="10"/>
      <c r="I11" s="10"/>
      <c r="J11" s="10"/>
      <c r="K11" s="10"/>
      <c r="L11" s="10"/>
      <c r="M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x14ac:dyDescent="0.25">
      <c r="A12" s="6">
        <v>4</v>
      </c>
      <c r="B12" s="6">
        <v>4.5185139398778871</v>
      </c>
      <c r="C12" s="6">
        <f t="shared" si="0"/>
        <v>4.2131780031282862</v>
      </c>
      <c r="D12" s="6">
        <f t="shared" si="1"/>
        <v>9.3230034270756282E-2</v>
      </c>
      <c r="E12" s="10"/>
      <c r="F12" s="22" t="s">
        <v>27</v>
      </c>
      <c r="G12" s="23"/>
      <c r="H12" s="23"/>
      <c r="I12" s="23"/>
      <c r="J12" s="23"/>
      <c r="K12" s="23"/>
      <c r="L12" s="23"/>
      <c r="M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x14ac:dyDescent="0.25">
      <c r="A13" s="6">
        <v>6</v>
      </c>
      <c r="B13" s="6">
        <v>4.3364597338485291</v>
      </c>
      <c r="C13" s="6">
        <f t="shared" si="0"/>
        <v>4.2131773991691404</v>
      </c>
      <c r="D13" s="6">
        <f t="shared" si="1"/>
        <v>1.519853404400082E-2</v>
      </c>
      <c r="E13" s="10"/>
      <c r="F13" s="23"/>
      <c r="G13" s="23"/>
      <c r="H13" s="23"/>
      <c r="I13" s="23"/>
      <c r="J13" s="23"/>
      <c r="K13" s="23"/>
      <c r="L13" s="23"/>
      <c r="M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37" x14ac:dyDescent="0.25">
      <c r="A14" s="6">
        <v>8</v>
      </c>
      <c r="B14" s="6">
        <v>4.5250448070368456</v>
      </c>
      <c r="C14" s="6">
        <f t="shared" si="0"/>
        <v>4.2131773990374217</v>
      </c>
      <c r="D14" s="6">
        <f t="shared" si="1"/>
        <v>9.7261280172279141E-2</v>
      </c>
      <c r="E14" s="10"/>
      <c r="F14" s="23"/>
      <c r="G14" s="23"/>
      <c r="H14" s="23"/>
      <c r="I14" s="23"/>
      <c r="J14" s="23"/>
      <c r="K14" s="23"/>
      <c r="L14" s="23"/>
      <c r="M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x14ac:dyDescent="0.25">
      <c r="A15" s="6">
        <v>10</v>
      </c>
      <c r="B15" s="6">
        <v>4.5250448070368456</v>
      </c>
      <c r="C15" s="6">
        <f t="shared" si="0"/>
        <v>4.2131773990373924</v>
      </c>
      <c r="D15" s="6">
        <f t="shared" si="1"/>
        <v>9.7261280172297418E-2</v>
      </c>
      <c r="E15" s="10"/>
      <c r="F15" s="10"/>
      <c r="G15" s="10"/>
      <c r="H15" s="10"/>
      <c r="I15" s="10"/>
      <c r="J15" s="10"/>
      <c r="K15" s="10"/>
      <c r="L15" s="10"/>
      <c r="M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x14ac:dyDescent="0.25">
      <c r="A16" s="6">
        <v>0</v>
      </c>
      <c r="B16" s="6">
        <v>5.4771212547196626</v>
      </c>
      <c r="C16" s="6">
        <f t="shared" si="0"/>
        <v>5.6938202494172048</v>
      </c>
      <c r="D16" s="6">
        <f t="shared" si="1"/>
        <v>4.6958454302925411E-2</v>
      </c>
      <c r="E16" s="10"/>
      <c r="F16" s="10"/>
      <c r="G16" s="10"/>
      <c r="H16" s="10"/>
      <c r="I16" s="10"/>
      <c r="J16" s="10"/>
      <c r="K16" s="10"/>
      <c r="L16" s="10"/>
      <c r="M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x14ac:dyDescent="0.25">
      <c r="A17" s="6">
        <v>1</v>
      </c>
      <c r="B17" s="6">
        <v>4.3617278360175931</v>
      </c>
      <c r="C17" s="6">
        <f t="shared" si="0"/>
        <v>4.3690830771919673</v>
      </c>
      <c r="D17" s="6">
        <f t="shared" si="1"/>
        <v>5.4099572733210289E-5</v>
      </c>
      <c r="E17" s="10"/>
      <c r="F17" s="10"/>
      <c r="G17" s="10"/>
      <c r="H17" s="10"/>
      <c r="I17" s="10"/>
      <c r="J17" s="10"/>
      <c r="K17" s="10"/>
      <c r="L17" s="10"/>
      <c r="M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</row>
    <row r="18" spans="1:37" x14ac:dyDescent="0.25">
      <c r="A18" s="6">
        <v>2</v>
      </c>
      <c r="B18" s="6">
        <v>4.568201724066995</v>
      </c>
      <c r="C18" s="6">
        <f t="shared" si="0"/>
        <v>4.2159385008987593</v>
      </c>
      <c r="D18" s="6">
        <f t="shared" si="1"/>
        <v>0.1240893783968742</v>
      </c>
      <c r="E18" s="10"/>
      <c r="F18" s="10"/>
      <c r="G18" s="10"/>
      <c r="H18" s="10"/>
      <c r="I18" s="10"/>
      <c r="J18" s="10"/>
      <c r="K18" s="10"/>
      <c r="L18" s="10"/>
      <c r="M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x14ac:dyDescent="0.25">
      <c r="A19" s="6">
        <v>4</v>
      </c>
      <c r="B19" s="6">
        <v>4.0293837776852097</v>
      </c>
      <c r="C19" s="6">
        <f t="shared" si="0"/>
        <v>4.2131780031282862</v>
      </c>
      <c r="D19" s="6">
        <f t="shared" si="1"/>
        <v>3.3780317306220407E-2</v>
      </c>
      <c r="E19" s="10"/>
      <c r="F19" s="10"/>
      <c r="G19" s="10"/>
      <c r="H19" s="10"/>
      <c r="I19" s="10"/>
      <c r="J19" s="10"/>
      <c r="K19" s="10"/>
      <c r="L19" s="10"/>
      <c r="M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1:37" x14ac:dyDescent="0.25">
      <c r="A20" s="6">
        <v>6</v>
      </c>
      <c r="B20" s="6">
        <v>4.204119982655925</v>
      </c>
      <c r="C20" s="6">
        <f t="shared" si="0"/>
        <v>4.2131773991691404</v>
      </c>
      <c r="D20" s="6">
        <f t="shared" si="1"/>
        <v>8.2036793893865996E-5</v>
      </c>
      <c r="E20" s="10"/>
      <c r="F20" s="10"/>
      <c r="G20" s="10"/>
      <c r="H20" s="10"/>
      <c r="I20" s="10"/>
      <c r="J20" s="10"/>
      <c r="K20" s="10"/>
      <c r="L20" s="10"/>
      <c r="M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</row>
    <row r="21" spans="1:37" x14ac:dyDescent="0.25">
      <c r="A21" s="6">
        <v>8</v>
      </c>
      <c r="B21" s="6">
        <v>4.5440680443502757</v>
      </c>
      <c r="C21" s="6">
        <f t="shared" si="0"/>
        <v>4.2131773990374217</v>
      </c>
      <c r="D21" s="6">
        <f t="shared" si="1"/>
        <v>0.10948861915555691</v>
      </c>
      <c r="E21" s="10"/>
      <c r="F21" s="10"/>
      <c r="G21" s="10"/>
      <c r="H21" s="10"/>
      <c r="I21" s="10"/>
      <c r="J21" s="10"/>
      <c r="K21" s="10"/>
      <c r="L21" s="10"/>
      <c r="M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</row>
    <row r="22" spans="1:37" x14ac:dyDescent="0.25">
      <c r="A22" s="6">
        <v>10</v>
      </c>
      <c r="B22" s="6">
        <v>3.9370161074648142</v>
      </c>
      <c r="C22" s="6">
        <f t="shared" si="0"/>
        <v>4.2131773990373924</v>
      </c>
      <c r="D22" s="6">
        <f t="shared" si="1"/>
        <v>7.6265058963034538E-2</v>
      </c>
      <c r="E22" s="10"/>
      <c r="F22" s="10"/>
      <c r="G22" s="10"/>
      <c r="H22" s="10"/>
      <c r="I22" s="10"/>
      <c r="J22" s="10"/>
      <c r="K22" s="10"/>
      <c r="L22" s="10"/>
      <c r="M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x14ac:dyDescent="0.25">
      <c r="A23" s="7" t="s">
        <v>10</v>
      </c>
      <c r="B23" s="6"/>
      <c r="C23" s="6"/>
      <c r="D23" s="6">
        <f>SUM(D2:D22)</f>
        <v>1.5283750156930378</v>
      </c>
      <c r="E23" s="10"/>
      <c r="F23" s="10"/>
      <c r="G23" s="10"/>
      <c r="H23" s="10"/>
      <c r="I23" s="10"/>
      <c r="J23" s="10"/>
      <c r="K23" s="10"/>
      <c r="L23" s="10"/>
      <c r="M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</row>
    <row r="24" spans="1:37" x14ac:dyDescent="0.25">
      <c r="A24" s="6"/>
      <c r="B24" s="6"/>
      <c r="C24" s="6"/>
      <c r="D24" s="6"/>
      <c r="E24" s="10"/>
      <c r="F24" s="10"/>
      <c r="G24" s="10"/>
      <c r="H24" s="10"/>
      <c r="I24" s="10"/>
      <c r="J24" s="10"/>
      <c r="K24" s="10"/>
      <c r="L24" s="10"/>
      <c r="M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</row>
    <row r="25" spans="1:37" x14ac:dyDescent="0.25">
      <c r="A25" s="6"/>
      <c r="B25" s="6"/>
      <c r="C25" s="6"/>
      <c r="D25" s="6"/>
      <c r="E25" s="10"/>
      <c r="F25" s="10"/>
      <c r="G25" s="10"/>
      <c r="H25" s="10"/>
      <c r="I25" s="10"/>
      <c r="J25" s="10"/>
      <c r="K25" s="10"/>
      <c r="L25" s="10"/>
      <c r="M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</row>
    <row r="26" spans="1:37" x14ac:dyDescent="0.25">
      <c r="A26" s="6">
        <v>0</v>
      </c>
      <c r="B26" s="6"/>
      <c r="C26" s="6">
        <f xml:space="preserve"> LOG((10^$G$5 - 10^$G$4) * EXP(-$G$3 *A26 )  + 10^$G$4)</f>
        <v>5.6938202494172048</v>
      </c>
      <c r="D26" s="6"/>
      <c r="E26" s="10"/>
      <c r="F26" s="10"/>
      <c r="G26" s="10"/>
      <c r="H26" s="10"/>
      <c r="I26" s="10"/>
      <c r="J26" s="10"/>
      <c r="K26" s="10"/>
      <c r="L26" s="10"/>
      <c r="M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</row>
    <row r="27" spans="1:37" x14ac:dyDescent="0.25">
      <c r="A27" s="6">
        <v>0.1</v>
      </c>
      <c r="B27" s="6"/>
      <c r="C27" s="6">
        <f t="shared" ref="C27:C90" si="2" xml:space="preserve"> LOG((10^$G$5 - 10^$G$4) * EXP(-$G$3 *A27 )  + 10^$G$4)</f>
        <v>5.5182162851449865</v>
      </c>
      <c r="D27" s="6"/>
      <c r="E27" s="10"/>
      <c r="F27" s="10"/>
      <c r="G27" s="10"/>
      <c r="H27" s="10"/>
      <c r="I27" s="10"/>
      <c r="J27" s="10"/>
      <c r="K27" s="10"/>
      <c r="L27" s="10"/>
      <c r="M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</row>
    <row r="28" spans="1:37" x14ac:dyDescent="0.25">
      <c r="A28" s="6">
        <v>0.2</v>
      </c>
      <c r="B28" s="6"/>
      <c r="C28" s="6">
        <f t="shared" si="2"/>
        <v>5.3462844621399013</v>
      </c>
      <c r="D28" s="6"/>
      <c r="E28" s="10"/>
      <c r="F28" s="10"/>
      <c r="G28" s="10"/>
      <c r="H28" s="10"/>
      <c r="I28" s="10"/>
      <c r="J28" s="10"/>
      <c r="K28" s="10"/>
      <c r="L28" s="10"/>
      <c r="M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</row>
    <row r="29" spans="1:37" x14ac:dyDescent="0.25">
      <c r="A29" s="6">
        <v>0.30000000000000004</v>
      </c>
      <c r="B29" s="6"/>
      <c r="C29" s="6">
        <f t="shared" si="2"/>
        <v>5.1796602105457534</v>
      </c>
      <c r="D29" s="6"/>
      <c r="E29" s="10"/>
      <c r="F29" s="10"/>
      <c r="G29" s="10"/>
      <c r="H29" s="10"/>
      <c r="I29" s="10"/>
      <c r="J29" s="10"/>
      <c r="K29" s="10"/>
      <c r="L29" s="10"/>
      <c r="M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</row>
    <row r="30" spans="1:37" x14ac:dyDescent="0.25">
      <c r="A30" s="6">
        <v>0.4</v>
      </c>
      <c r="B30" s="6"/>
      <c r="C30" s="6">
        <f t="shared" si="2"/>
        <v>5.0205174244742174</v>
      </c>
      <c r="D30" s="6"/>
      <c r="E30" s="10"/>
      <c r="F30" s="10"/>
      <c r="G30" s="10"/>
      <c r="H30" s="10"/>
      <c r="I30" s="10"/>
      <c r="J30" s="10"/>
      <c r="K30" s="10"/>
      <c r="L30" s="10"/>
      <c r="M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</row>
    <row r="31" spans="1:37" x14ac:dyDescent="0.25">
      <c r="A31" s="6">
        <v>0.5</v>
      </c>
      <c r="B31" s="6"/>
      <c r="C31" s="6">
        <f t="shared" si="2"/>
        <v>4.8715570151585288</v>
      </c>
      <c r="D31" s="6"/>
      <c r="E31" s="10"/>
      <c r="F31" s="10"/>
      <c r="G31" s="10"/>
      <c r="H31" s="10"/>
      <c r="I31" s="10"/>
      <c r="J31" s="10"/>
      <c r="K31" s="10"/>
      <c r="L31" s="10"/>
      <c r="M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x14ac:dyDescent="0.25">
      <c r="A32" s="6">
        <v>0.6</v>
      </c>
      <c r="B32" s="6"/>
      <c r="C32" s="6">
        <f t="shared" si="2"/>
        <v>4.7358149521014239</v>
      </c>
      <c r="D32" s="6"/>
      <c r="E32" s="10"/>
      <c r="F32" s="10"/>
      <c r="G32" s="10"/>
      <c r="H32" s="10"/>
      <c r="I32" s="10"/>
      <c r="J32" s="10"/>
      <c r="K32" s="10"/>
      <c r="L32" s="10"/>
      <c r="M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</row>
    <row r="33" spans="1:37" x14ac:dyDescent="0.25">
      <c r="A33" s="6">
        <v>0.7</v>
      </c>
      <c r="B33" s="6"/>
      <c r="C33" s="6">
        <f t="shared" si="2"/>
        <v>4.6162209391468236</v>
      </c>
      <c r="D33" s="6"/>
      <c r="E33" s="10"/>
      <c r="F33" s="10"/>
      <c r="G33" s="10"/>
      <c r="H33" s="10"/>
      <c r="I33" s="10"/>
      <c r="J33" s="10"/>
      <c r="K33" s="10"/>
      <c r="L33" s="10"/>
      <c r="M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</row>
    <row r="34" spans="1:37" x14ac:dyDescent="0.25">
      <c r="A34" s="6">
        <v>0.79999999999999993</v>
      </c>
      <c r="B34" s="6"/>
      <c r="C34" s="6">
        <f t="shared" si="2"/>
        <v>4.5149560748865172</v>
      </c>
      <c r="D34" s="6"/>
      <c r="E34" s="10"/>
      <c r="F34" s="10"/>
      <c r="G34" s="10"/>
      <c r="H34" s="10"/>
      <c r="I34" s="10"/>
      <c r="J34" s="10"/>
      <c r="K34" s="10"/>
      <c r="L34" s="10"/>
      <c r="M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</row>
    <row r="35" spans="1:37" x14ac:dyDescent="0.25">
      <c r="A35" s="6">
        <v>0.89999999999999991</v>
      </c>
      <c r="B35" s="6"/>
      <c r="C35" s="6">
        <f t="shared" si="2"/>
        <v>4.4328421515182654</v>
      </c>
      <c r="D35" s="6"/>
      <c r="E35" s="10"/>
      <c r="F35" s="10"/>
      <c r="G35" s="10"/>
      <c r="H35" s="10"/>
      <c r="I35" s="10"/>
      <c r="J35" s="10"/>
      <c r="K35" s="10"/>
      <c r="L35" s="10"/>
      <c r="M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</row>
    <row r="36" spans="1:37" x14ac:dyDescent="0.25">
      <c r="A36" s="6">
        <v>0.99999999999999989</v>
      </c>
      <c r="B36" s="6"/>
      <c r="C36" s="6">
        <f t="shared" si="2"/>
        <v>4.3690830771919673</v>
      </c>
      <c r="D36" s="6"/>
      <c r="E36" s="10"/>
      <c r="F36" s="10"/>
      <c r="G36" s="10"/>
      <c r="H36" s="10"/>
      <c r="I36" s="10"/>
      <c r="J36" s="10"/>
      <c r="K36" s="10"/>
      <c r="L36" s="10"/>
      <c r="M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</row>
    <row r="37" spans="1:37" x14ac:dyDescent="0.25">
      <c r="A37" s="6">
        <v>1.0999999999999999</v>
      </c>
      <c r="B37" s="6"/>
      <c r="C37" s="6">
        <f t="shared" si="2"/>
        <v>4.3215156005790369</v>
      </c>
      <c r="D37" s="6"/>
      <c r="E37" s="10"/>
      <c r="F37" s="10"/>
      <c r="G37" s="10"/>
      <c r="H37" s="10"/>
      <c r="I37" s="10"/>
      <c r="J37" s="10"/>
      <c r="K37" s="10"/>
      <c r="L37" s="10"/>
      <c r="M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x14ac:dyDescent="0.25">
      <c r="A38" s="6">
        <v>1.2</v>
      </c>
      <c r="B38" s="6"/>
      <c r="C38" s="6">
        <f t="shared" si="2"/>
        <v>4.2872167619031814</v>
      </c>
      <c r="D38" s="6"/>
      <c r="E38" s="10"/>
      <c r="F38" s="10"/>
      <c r="G38" s="10"/>
      <c r="H38" s="10"/>
      <c r="I38" s="10"/>
      <c r="J38" s="10"/>
      <c r="K38" s="10"/>
      <c r="L38" s="10"/>
      <c r="M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25">
      <c r="A39" s="6">
        <v>1.3</v>
      </c>
      <c r="B39" s="6"/>
      <c r="C39" s="6">
        <f t="shared" si="2"/>
        <v>4.2631480745653469</v>
      </c>
      <c r="D39" s="6"/>
      <c r="E39" s="10"/>
      <c r="F39" s="10"/>
      <c r="G39" s="10"/>
      <c r="H39" s="10"/>
      <c r="I39" s="10"/>
      <c r="J39" s="10"/>
      <c r="K39" s="10"/>
      <c r="L39" s="10"/>
      <c r="M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</row>
    <row r="40" spans="1:37" x14ac:dyDescent="0.25">
      <c r="A40" s="6">
        <v>1.4000000000000001</v>
      </c>
      <c r="B40" s="6"/>
      <c r="C40" s="6">
        <f t="shared" si="2"/>
        <v>4.24660098777471</v>
      </c>
      <c r="D40" s="6"/>
      <c r="E40" s="10"/>
      <c r="F40" s="10"/>
      <c r="G40" s="10"/>
      <c r="H40" s="10"/>
      <c r="I40" s="10"/>
      <c r="J40" s="10"/>
      <c r="K40" s="10"/>
      <c r="L40" s="10"/>
      <c r="M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</row>
    <row r="41" spans="1:37" x14ac:dyDescent="0.25">
      <c r="A41" s="6">
        <v>1.5000000000000002</v>
      </c>
      <c r="B41" s="6"/>
      <c r="C41" s="6">
        <f t="shared" si="2"/>
        <v>4.235392540013466</v>
      </c>
      <c r="D41" s="6"/>
      <c r="E41" s="10"/>
      <c r="F41" s="10"/>
      <c r="G41" s="10"/>
      <c r="H41" s="10"/>
      <c r="I41" s="10"/>
      <c r="J41" s="10"/>
      <c r="K41" s="10"/>
      <c r="L41" s="10"/>
      <c r="M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</row>
    <row r="42" spans="1:37" x14ac:dyDescent="0.25">
      <c r="A42" s="6">
        <v>1.6000000000000003</v>
      </c>
      <c r="B42" s="6"/>
      <c r="C42" s="6">
        <f t="shared" si="2"/>
        <v>4.2278789922672892</v>
      </c>
      <c r="D42" s="6"/>
      <c r="E42" s="10"/>
      <c r="F42" s="10"/>
      <c r="G42" s="10"/>
      <c r="H42" s="10"/>
      <c r="I42" s="10"/>
      <c r="J42" s="10"/>
      <c r="K42" s="10"/>
      <c r="L42" s="10"/>
      <c r="M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x14ac:dyDescent="0.25">
      <c r="A43" s="6">
        <v>1.7000000000000004</v>
      </c>
      <c r="B43" s="6"/>
      <c r="C43" s="6">
        <f t="shared" si="2"/>
        <v>4.2228782189110232</v>
      </c>
      <c r="D43" s="6"/>
      <c r="E43" s="10"/>
      <c r="F43" s="10"/>
      <c r="G43" s="10"/>
      <c r="H43" s="10"/>
      <c r="I43" s="10"/>
      <c r="J43" s="10"/>
      <c r="K43" s="10"/>
      <c r="L43" s="10"/>
      <c r="M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</row>
    <row r="44" spans="1:37" x14ac:dyDescent="0.25">
      <c r="A44" s="6">
        <v>1.8000000000000005</v>
      </c>
      <c r="B44" s="6"/>
      <c r="C44" s="6">
        <f t="shared" si="2"/>
        <v>4.219565939316186</v>
      </c>
      <c r="D44" s="6"/>
      <c r="E44" s="10"/>
      <c r="F44" s="10"/>
      <c r="G44" s="10"/>
      <c r="H44" s="10"/>
      <c r="I44" s="10"/>
      <c r="J44" s="10"/>
      <c r="K44" s="10"/>
      <c r="L44" s="10"/>
      <c r="M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</row>
    <row r="45" spans="1:37" x14ac:dyDescent="0.25">
      <c r="A45" s="6">
        <v>1.9000000000000006</v>
      </c>
      <c r="B45" s="6"/>
      <c r="C45" s="6">
        <f t="shared" si="2"/>
        <v>4.217379139308572</v>
      </c>
      <c r="D45" s="6"/>
      <c r="E45" s="10"/>
      <c r="F45" s="10"/>
      <c r="G45" s="10"/>
      <c r="H45" s="10"/>
      <c r="I45" s="10"/>
      <c r="J45" s="10"/>
      <c r="K45" s="10"/>
      <c r="L45" s="10"/>
      <c r="M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</row>
    <row r="46" spans="1:37" x14ac:dyDescent="0.25">
      <c r="A46" s="6">
        <v>2.0000000000000004</v>
      </c>
      <c r="B46" s="6"/>
      <c r="C46" s="6">
        <f t="shared" si="2"/>
        <v>4.2159385008987593</v>
      </c>
      <c r="D46" s="6"/>
      <c r="E46" s="10"/>
      <c r="F46" s="10"/>
      <c r="G46" s="10"/>
      <c r="H46" s="10"/>
      <c r="I46" s="10"/>
      <c r="J46" s="10"/>
      <c r="K46" s="10"/>
      <c r="L46" s="10"/>
      <c r="M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</row>
    <row r="47" spans="1:37" x14ac:dyDescent="0.25">
      <c r="A47" s="6">
        <v>2.1000000000000005</v>
      </c>
      <c r="B47" s="6"/>
      <c r="C47" s="6">
        <f t="shared" si="2"/>
        <v>4.2149907783209661</v>
      </c>
      <c r="D47" s="6"/>
      <c r="E47" s="10"/>
      <c r="F47" s="10"/>
      <c r="G47" s="10"/>
      <c r="H47" s="10"/>
      <c r="I47" s="10"/>
      <c r="J47" s="10"/>
      <c r="K47" s="10"/>
      <c r="L47" s="10"/>
      <c r="M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</row>
    <row r="48" spans="1:37" x14ac:dyDescent="0.25">
      <c r="A48" s="6">
        <v>2.2000000000000006</v>
      </c>
      <c r="B48" s="6"/>
      <c r="C48" s="6">
        <f t="shared" si="2"/>
        <v>4.2143679067388895</v>
      </c>
      <c r="D48" s="6"/>
      <c r="E48" s="10"/>
      <c r="F48" s="10"/>
      <c r="G48" s="10"/>
      <c r="H48" s="10"/>
      <c r="I48" s="10"/>
      <c r="J48" s="10"/>
      <c r="K48" s="10"/>
      <c r="L48" s="10"/>
      <c r="M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</row>
    <row r="49" spans="1:37" x14ac:dyDescent="0.25">
      <c r="A49" s="6">
        <v>2.3000000000000007</v>
      </c>
      <c r="B49" s="6"/>
      <c r="C49" s="6">
        <f t="shared" si="2"/>
        <v>4.213958790728082</v>
      </c>
      <c r="D49" s="6"/>
      <c r="E49" s="10"/>
      <c r="F49" s="10"/>
      <c r="G49" s="10"/>
      <c r="H49" s="10"/>
      <c r="I49" s="10"/>
      <c r="J49" s="10"/>
      <c r="K49" s="10"/>
      <c r="L49" s="10"/>
      <c r="M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</row>
    <row r="50" spans="1:37" x14ac:dyDescent="0.25">
      <c r="A50" s="6">
        <v>2.4000000000000008</v>
      </c>
      <c r="B50" s="6"/>
      <c r="C50" s="6">
        <f t="shared" si="2"/>
        <v>4.2136901837501854</v>
      </c>
      <c r="D50" s="6"/>
      <c r="E50" s="10"/>
      <c r="F50" s="10"/>
      <c r="G50" s="10"/>
      <c r="H50" s="10"/>
      <c r="I50" s="10"/>
      <c r="J50" s="10"/>
      <c r="K50" s="10"/>
      <c r="L50" s="10"/>
      <c r="M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 x14ac:dyDescent="0.25">
      <c r="A51" s="6">
        <v>2.5000000000000009</v>
      </c>
      <c r="B51" s="6"/>
      <c r="C51" s="6">
        <f t="shared" si="2"/>
        <v>4.2135138758812918</v>
      </c>
      <c r="D51" s="6"/>
      <c r="E51" s="10"/>
      <c r="F51" s="10"/>
      <c r="G51" s="10"/>
      <c r="H51" s="10"/>
      <c r="I51" s="10"/>
      <c r="J51" s="10"/>
      <c r="K51" s="10"/>
      <c r="L51" s="10"/>
      <c r="M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25">
      <c r="A52" s="6">
        <v>2.600000000000001</v>
      </c>
      <c r="B52" s="6"/>
      <c r="C52" s="6">
        <f t="shared" si="2"/>
        <v>4.2133981715417237</v>
      </c>
      <c r="D52" s="6"/>
      <c r="E52" s="10"/>
      <c r="F52" s="10"/>
      <c r="G52" s="10"/>
      <c r="H52" s="10"/>
      <c r="I52" s="10"/>
      <c r="J52" s="10"/>
      <c r="K52" s="10"/>
      <c r="L52" s="10"/>
      <c r="M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</row>
    <row r="53" spans="1:37" x14ac:dyDescent="0.25">
      <c r="A53" s="6">
        <v>2.7000000000000011</v>
      </c>
      <c r="B53" s="6"/>
      <c r="C53" s="6">
        <f t="shared" si="2"/>
        <v>4.213322247834375</v>
      </c>
      <c r="D53" s="6"/>
      <c r="E53" s="10"/>
      <c r="F53" s="10"/>
      <c r="G53" s="10"/>
      <c r="H53" s="10"/>
      <c r="I53" s="10"/>
      <c r="J53" s="10"/>
      <c r="K53" s="10"/>
      <c r="L53" s="10"/>
      <c r="M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</row>
    <row r="54" spans="1:37" x14ac:dyDescent="0.25">
      <c r="A54" s="6">
        <v>2.8000000000000012</v>
      </c>
      <c r="B54" s="6"/>
      <c r="C54" s="6">
        <f t="shared" si="2"/>
        <v>4.2132724314480292</v>
      </c>
      <c r="D54" s="6"/>
      <c r="E54" s="10"/>
      <c r="F54" s="10"/>
      <c r="G54" s="10"/>
      <c r="H54" s="10"/>
      <c r="I54" s="10"/>
      <c r="J54" s="10"/>
      <c r="K54" s="10"/>
      <c r="L54" s="10"/>
      <c r="M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1:37" x14ac:dyDescent="0.25">
      <c r="A55" s="6">
        <v>2.9000000000000012</v>
      </c>
      <c r="B55" s="6"/>
      <c r="C55" s="6">
        <f t="shared" si="2"/>
        <v>4.213239746679359</v>
      </c>
      <c r="D55" s="6"/>
      <c r="E55" s="10"/>
      <c r="F55" s="10"/>
      <c r="G55" s="10"/>
      <c r="H55" s="10"/>
      <c r="I55" s="10"/>
      <c r="J55" s="10"/>
      <c r="K55" s="10"/>
      <c r="L55" s="10"/>
      <c r="M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x14ac:dyDescent="0.25">
      <c r="A56" s="6">
        <v>3.0000000000000013</v>
      </c>
      <c r="B56" s="6"/>
      <c r="C56" s="6">
        <f t="shared" si="2"/>
        <v>4.2132183027472321</v>
      </c>
      <c r="D56" s="6"/>
      <c r="E56" s="10"/>
      <c r="F56" s="10"/>
      <c r="G56" s="10"/>
      <c r="H56" s="10"/>
      <c r="I56" s="10"/>
      <c r="J56" s="10"/>
      <c r="K56" s="10"/>
      <c r="L56" s="10"/>
      <c r="M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</row>
    <row r="57" spans="1:37" x14ac:dyDescent="0.25">
      <c r="A57" s="6">
        <v>3.1000000000000014</v>
      </c>
      <c r="B57" s="6"/>
      <c r="C57" s="6">
        <f t="shared" si="2"/>
        <v>4.2132042340421973</v>
      </c>
      <c r="D57" s="6"/>
      <c r="E57" s="10"/>
      <c r="F57" s="10"/>
      <c r="G57" s="10"/>
      <c r="H57" s="10"/>
      <c r="I57" s="10"/>
      <c r="J57" s="10"/>
      <c r="K57" s="10"/>
      <c r="L57" s="10"/>
      <c r="M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</row>
    <row r="58" spans="1:37" x14ac:dyDescent="0.25">
      <c r="A58" s="6">
        <v>3.2000000000000015</v>
      </c>
      <c r="B58" s="6"/>
      <c r="C58" s="6">
        <f t="shared" si="2"/>
        <v>4.2131950041268569</v>
      </c>
      <c r="D58" s="6"/>
      <c r="E58" s="10"/>
      <c r="F58" s="10"/>
      <c r="G58" s="10"/>
      <c r="H58" s="10"/>
      <c r="I58" s="10"/>
      <c r="J58" s="10"/>
      <c r="K58" s="10"/>
      <c r="L58" s="10"/>
      <c r="M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</row>
    <row r="59" spans="1:37" x14ac:dyDescent="0.25">
      <c r="A59" s="6">
        <v>3.3000000000000016</v>
      </c>
      <c r="B59" s="6"/>
      <c r="C59" s="6">
        <f t="shared" si="2"/>
        <v>4.2131889488039933</v>
      </c>
      <c r="D59" s="6"/>
      <c r="E59" s="10"/>
      <c r="F59" s="10"/>
      <c r="G59" s="10"/>
      <c r="H59" s="10"/>
      <c r="I59" s="10"/>
      <c r="J59" s="10"/>
      <c r="K59" s="10"/>
      <c r="L59" s="10"/>
      <c r="M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</row>
    <row r="60" spans="1:37" x14ac:dyDescent="0.25">
      <c r="A60" s="6">
        <v>3.4000000000000017</v>
      </c>
      <c r="B60" s="6"/>
      <c r="C60" s="6">
        <f t="shared" si="2"/>
        <v>4.2131849762092637</v>
      </c>
      <c r="D60" s="6"/>
      <c r="E60" s="10"/>
      <c r="F60" s="10"/>
      <c r="G60" s="10"/>
      <c r="H60" s="10"/>
      <c r="I60" s="10"/>
      <c r="J60" s="10"/>
      <c r="K60" s="10"/>
      <c r="L60" s="10"/>
      <c r="M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</row>
    <row r="61" spans="1:37" x14ac:dyDescent="0.25">
      <c r="A61" s="6">
        <v>3.5000000000000018</v>
      </c>
      <c r="B61" s="6"/>
      <c r="C61" s="6">
        <f t="shared" si="2"/>
        <v>4.213182369998731</v>
      </c>
      <c r="D61" s="6"/>
      <c r="E61" s="10"/>
      <c r="F61" s="10"/>
      <c r="G61" s="10"/>
      <c r="H61" s="10"/>
      <c r="I61" s="10"/>
      <c r="J61" s="10"/>
      <c r="K61" s="10"/>
      <c r="L61" s="10"/>
      <c r="M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</row>
    <row r="62" spans="1:37" x14ac:dyDescent="0.25">
      <c r="A62" s="6">
        <v>3.6000000000000019</v>
      </c>
      <c r="B62" s="6"/>
      <c r="C62" s="6">
        <f t="shared" si="2"/>
        <v>4.2131806602054835</v>
      </c>
      <c r="D62" s="6"/>
      <c r="E62" s="10"/>
      <c r="F62" s="10"/>
      <c r="G62" s="10"/>
      <c r="H62" s="10"/>
      <c r="I62" s="10"/>
      <c r="J62" s="10"/>
      <c r="K62" s="10"/>
      <c r="L62" s="10"/>
      <c r="M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x14ac:dyDescent="0.25">
      <c r="A63" s="6">
        <v>3.700000000000002</v>
      </c>
      <c r="B63" s="6"/>
      <c r="C63" s="6">
        <f t="shared" si="2"/>
        <v>4.2131795385048703</v>
      </c>
      <c r="D63" s="6"/>
      <c r="E63" s="10"/>
      <c r="F63" s="10"/>
      <c r="G63" s="10"/>
      <c r="H63" s="10"/>
      <c r="I63" s="10"/>
      <c r="J63" s="10"/>
      <c r="K63" s="10"/>
      <c r="L63" s="10"/>
      <c r="M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</row>
    <row r="64" spans="1:37" x14ac:dyDescent="0.25">
      <c r="A64" s="6">
        <v>3.800000000000002</v>
      </c>
      <c r="B64" s="6"/>
      <c r="C64" s="6">
        <f t="shared" si="2"/>
        <v>4.2131788026200745</v>
      </c>
      <c r="D64" s="6"/>
      <c r="E64" s="10"/>
      <c r="F64" s="10"/>
      <c r="G64" s="10"/>
      <c r="H64" s="10"/>
      <c r="I64" s="10"/>
      <c r="J64" s="10"/>
      <c r="K64" s="10"/>
      <c r="L64" s="10"/>
      <c r="M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25">
      <c r="A65" s="6">
        <v>3.9000000000000021</v>
      </c>
      <c r="B65" s="6"/>
      <c r="C65" s="6">
        <f t="shared" si="2"/>
        <v>4.2131783198477306</v>
      </c>
      <c r="D65" s="6"/>
      <c r="E65" s="10"/>
      <c r="F65" s="10"/>
      <c r="G65" s="10"/>
      <c r="H65" s="10"/>
      <c r="I65" s="10"/>
      <c r="J65" s="10"/>
      <c r="K65" s="10"/>
      <c r="L65" s="10"/>
      <c r="M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</row>
    <row r="66" spans="1:37" x14ac:dyDescent="0.25">
      <c r="A66" s="6">
        <v>4.0000000000000018</v>
      </c>
      <c r="B66" s="6"/>
      <c r="C66" s="6">
        <f t="shared" si="2"/>
        <v>4.2131780031282862</v>
      </c>
      <c r="D66" s="6"/>
      <c r="E66" s="10"/>
      <c r="F66" s="10"/>
      <c r="G66" s="10"/>
      <c r="H66" s="10"/>
      <c r="I66" s="10"/>
      <c r="J66" s="10"/>
      <c r="K66" s="10"/>
      <c r="L66" s="10"/>
      <c r="M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</row>
    <row r="67" spans="1:37" x14ac:dyDescent="0.25">
      <c r="A67" s="6">
        <v>4.1000000000000014</v>
      </c>
      <c r="B67" s="6"/>
      <c r="C67" s="6">
        <f t="shared" si="2"/>
        <v>4.2131777953467591</v>
      </c>
      <c r="D67" s="6"/>
      <c r="E67" s="10"/>
      <c r="F67" s="10"/>
      <c r="G67" s="10"/>
      <c r="H67" s="10"/>
      <c r="I67" s="10"/>
      <c r="J67" s="10"/>
      <c r="K67" s="10"/>
      <c r="L67" s="10"/>
      <c r="M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</row>
    <row r="68" spans="1:37" x14ac:dyDescent="0.25">
      <c r="A68" s="6">
        <v>4.2000000000000011</v>
      </c>
      <c r="B68" s="6"/>
      <c r="C68" s="6">
        <f t="shared" si="2"/>
        <v>4.2131776590332022</v>
      </c>
      <c r="D68" s="6"/>
      <c r="E68" s="10"/>
      <c r="F68" s="10"/>
      <c r="G68" s="10"/>
      <c r="H68" s="10"/>
      <c r="I68" s="10"/>
      <c r="J68" s="10"/>
      <c r="K68" s="10"/>
      <c r="L68" s="10"/>
      <c r="M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x14ac:dyDescent="0.25">
      <c r="A69" s="6">
        <v>4.3000000000000007</v>
      </c>
      <c r="B69" s="6"/>
      <c r="C69" s="6">
        <f t="shared" si="2"/>
        <v>4.2131775696056994</v>
      </c>
      <c r="D69" s="6"/>
      <c r="E69" s="10"/>
      <c r="F69" s="10"/>
      <c r="G69" s="10"/>
      <c r="H69" s="10"/>
      <c r="I69" s="10"/>
      <c r="J69" s="10"/>
      <c r="K69" s="10"/>
      <c r="L69" s="10"/>
      <c r="M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</row>
    <row r="70" spans="1:37" x14ac:dyDescent="0.25">
      <c r="A70" s="6">
        <v>4.4000000000000004</v>
      </c>
      <c r="B70" s="6"/>
      <c r="C70" s="6">
        <f t="shared" si="2"/>
        <v>4.2131775109374505</v>
      </c>
      <c r="D70" s="6"/>
      <c r="E70" s="10"/>
      <c r="F70" s="10"/>
      <c r="G70" s="10"/>
      <c r="H70" s="10"/>
      <c r="I70" s="10"/>
      <c r="J70" s="10"/>
      <c r="K70" s="10"/>
      <c r="L70" s="10"/>
      <c r="M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</row>
    <row r="71" spans="1:37" x14ac:dyDescent="0.25">
      <c r="A71" s="6">
        <v>4.5</v>
      </c>
      <c r="B71" s="6"/>
      <c r="C71" s="6">
        <f t="shared" si="2"/>
        <v>4.2131774724485842</v>
      </c>
      <c r="D71" s="6"/>
      <c r="E71" s="10"/>
      <c r="F71" s="10"/>
      <c r="G71" s="10"/>
      <c r="H71" s="10"/>
      <c r="I71" s="10"/>
      <c r="J71" s="10"/>
      <c r="K71" s="10"/>
      <c r="L71" s="10"/>
      <c r="M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</row>
    <row r="72" spans="1:37" x14ac:dyDescent="0.25">
      <c r="A72" s="6">
        <v>4.5999999999999996</v>
      </c>
      <c r="B72" s="6"/>
      <c r="C72" s="6">
        <f t="shared" si="2"/>
        <v>4.2131774471982526</v>
      </c>
      <c r="D72" s="6"/>
      <c r="E72" s="10"/>
      <c r="F72" s="10"/>
      <c r="G72" s="10"/>
      <c r="H72" s="10"/>
      <c r="I72" s="10"/>
      <c r="J72" s="10"/>
      <c r="K72" s="10"/>
      <c r="L72" s="10"/>
      <c r="M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</row>
    <row r="73" spans="1:37" x14ac:dyDescent="0.25">
      <c r="A73" s="6">
        <v>4.6999999999999993</v>
      </c>
      <c r="B73" s="6"/>
      <c r="C73" s="6">
        <f t="shared" si="2"/>
        <v>4.2131774306329621</v>
      </c>
      <c r="D73" s="6"/>
      <c r="E73" s="10"/>
      <c r="F73" s="10"/>
      <c r="G73" s="10"/>
      <c r="H73" s="10"/>
      <c r="I73" s="10"/>
      <c r="J73" s="10"/>
      <c r="K73" s="10"/>
      <c r="L73" s="10"/>
      <c r="M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</row>
    <row r="74" spans="1:37" x14ac:dyDescent="0.25">
      <c r="A74" s="6">
        <v>4.7999999999999989</v>
      </c>
      <c r="B74" s="6"/>
      <c r="C74" s="6">
        <f t="shared" si="2"/>
        <v>4.2131774197654277</v>
      </c>
      <c r="D74" s="6"/>
      <c r="E74" s="10"/>
      <c r="F74" s="10"/>
      <c r="G74" s="10"/>
      <c r="H74" s="10"/>
      <c r="I74" s="10"/>
      <c r="J74" s="10"/>
      <c r="K74" s="10"/>
      <c r="L74" s="10"/>
      <c r="M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</row>
    <row r="75" spans="1:37" x14ac:dyDescent="0.25">
      <c r="A75" s="6">
        <v>4.8999999999999986</v>
      </c>
      <c r="B75" s="6"/>
      <c r="C75" s="6">
        <f t="shared" si="2"/>
        <v>4.2131774126358641</v>
      </c>
      <c r="D75" s="6"/>
      <c r="E75" s="10"/>
      <c r="F75" s="10"/>
      <c r="G75" s="10"/>
      <c r="H75" s="10"/>
      <c r="I75" s="10"/>
      <c r="J75" s="10"/>
      <c r="K75" s="10"/>
      <c r="L75" s="10"/>
      <c r="M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</row>
    <row r="76" spans="1:37" x14ac:dyDescent="0.25">
      <c r="A76" s="6">
        <v>4.9999999999999982</v>
      </c>
      <c r="B76" s="6"/>
      <c r="C76" s="6">
        <f t="shared" si="2"/>
        <v>4.2131774079585673</v>
      </c>
      <c r="D76" s="6"/>
      <c r="E76" s="10"/>
      <c r="F76" s="10"/>
      <c r="G76" s="10"/>
      <c r="H76" s="10"/>
      <c r="I76" s="10"/>
      <c r="J76" s="10"/>
      <c r="K76" s="10"/>
      <c r="L76" s="10"/>
      <c r="M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x14ac:dyDescent="0.25">
      <c r="A77" s="6">
        <v>5.0999999999999979</v>
      </c>
      <c r="B77" s="6"/>
      <c r="C77" s="6">
        <f t="shared" si="2"/>
        <v>4.2131774048900619</v>
      </c>
      <c r="D77" s="6"/>
      <c r="E77" s="10"/>
      <c r="F77" s="10"/>
      <c r="G77" s="10"/>
      <c r="H77" s="10"/>
      <c r="I77" s="10"/>
      <c r="J77" s="10"/>
      <c r="K77" s="10"/>
      <c r="L77" s="10"/>
      <c r="M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25">
      <c r="A78" s="6">
        <v>5.1999999999999975</v>
      </c>
      <c r="B78" s="6"/>
      <c r="C78" s="6">
        <f t="shared" si="2"/>
        <v>4.2131774028769922</v>
      </c>
      <c r="D78" s="6"/>
      <c r="E78" s="10"/>
      <c r="F78" s="10"/>
      <c r="G78" s="10"/>
      <c r="H78" s="10"/>
      <c r="I78" s="10"/>
      <c r="J78" s="10"/>
      <c r="K78" s="10"/>
      <c r="L78" s="10"/>
      <c r="M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</row>
    <row r="79" spans="1:37" x14ac:dyDescent="0.25">
      <c r="A79" s="6">
        <v>5.2999999999999972</v>
      </c>
      <c r="B79" s="6"/>
      <c r="C79" s="6">
        <f t="shared" si="2"/>
        <v>4.213177401556333</v>
      </c>
      <c r="D79" s="6"/>
      <c r="E79" s="10"/>
      <c r="F79" s="10"/>
      <c r="G79" s="10"/>
      <c r="H79" s="10"/>
      <c r="I79" s="10"/>
      <c r="J79" s="10"/>
      <c r="K79" s="10"/>
      <c r="L79" s="10"/>
      <c r="M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</row>
    <row r="80" spans="1:37" x14ac:dyDescent="0.25">
      <c r="A80" s="6">
        <v>5.3999999999999968</v>
      </c>
      <c r="B80" s="6"/>
      <c r="C80" s="6">
        <f t="shared" si="2"/>
        <v>4.2131774006899247</v>
      </c>
      <c r="D80" s="6"/>
      <c r="E80" s="10"/>
      <c r="F80" s="10"/>
      <c r="G80" s="10"/>
      <c r="H80" s="10"/>
      <c r="I80" s="10"/>
      <c r="J80" s="10"/>
      <c r="K80" s="10"/>
      <c r="L80" s="10"/>
      <c r="M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</row>
    <row r="81" spans="1:37" x14ac:dyDescent="0.25">
      <c r="A81" s="6">
        <v>5.4999999999999964</v>
      </c>
      <c r="B81" s="6"/>
      <c r="C81" s="6">
        <f t="shared" si="2"/>
        <v>4.2131774001215234</v>
      </c>
      <c r="D81" s="6"/>
      <c r="E81" s="10"/>
      <c r="F81" s="10"/>
      <c r="G81" s="10"/>
      <c r="H81" s="10"/>
      <c r="I81" s="10"/>
      <c r="J81" s="10"/>
      <c r="K81" s="10"/>
      <c r="L81" s="10"/>
      <c r="M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x14ac:dyDescent="0.25">
      <c r="A82" s="6">
        <v>5.5999999999999961</v>
      </c>
      <c r="B82" s="6"/>
      <c r="C82" s="6">
        <f t="shared" si="2"/>
        <v>4.2131773997486288</v>
      </c>
      <c r="D82" s="6"/>
      <c r="E82" s="10"/>
      <c r="F82" s="10"/>
      <c r="G82" s="10"/>
      <c r="H82" s="10"/>
      <c r="I82" s="10"/>
      <c r="J82" s="10"/>
      <c r="K82" s="10"/>
      <c r="L82" s="10"/>
      <c r="M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</row>
    <row r="83" spans="1:37" x14ac:dyDescent="0.25">
      <c r="A83" s="6">
        <v>5.6999999999999957</v>
      </c>
      <c r="B83" s="6"/>
      <c r="C83" s="6">
        <f t="shared" si="2"/>
        <v>4.2131773995039934</v>
      </c>
      <c r="D83" s="6"/>
      <c r="E83" s="10"/>
      <c r="F83" s="10"/>
      <c r="G83" s="10"/>
      <c r="H83" s="10"/>
      <c r="I83" s="10"/>
      <c r="J83" s="10"/>
      <c r="K83" s="10"/>
      <c r="L83" s="10"/>
      <c r="M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</row>
    <row r="84" spans="1:37" x14ac:dyDescent="0.25">
      <c r="A84" s="6">
        <v>5.7999999999999954</v>
      </c>
      <c r="B84" s="6"/>
      <c r="C84" s="6">
        <f t="shared" si="2"/>
        <v>4.2131773993435031</v>
      </c>
      <c r="D84" s="6"/>
      <c r="E84" s="10"/>
      <c r="F84" s="10"/>
      <c r="G84" s="10"/>
      <c r="H84" s="10"/>
      <c r="I84" s="10"/>
      <c r="J84" s="10"/>
      <c r="K84" s="10"/>
      <c r="L84" s="10"/>
      <c r="M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</row>
    <row r="85" spans="1:37" x14ac:dyDescent="0.25">
      <c r="A85" s="6">
        <v>5.899999999999995</v>
      </c>
      <c r="B85" s="6"/>
      <c r="C85" s="6">
        <f t="shared" si="2"/>
        <v>4.213177399238214</v>
      </c>
      <c r="D85" s="6"/>
      <c r="E85" s="10"/>
      <c r="F85" s="10"/>
      <c r="G85" s="10"/>
      <c r="H85" s="10"/>
      <c r="I85" s="10"/>
      <c r="J85" s="10"/>
      <c r="K85" s="10"/>
      <c r="L85" s="10"/>
      <c r="M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x14ac:dyDescent="0.25">
      <c r="A86" s="6">
        <v>5.9999999999999947</v>
      </c>
      <c r="B86" s="6"/>
      <c r="C86" s="6">
        <f t="shared" si="2"/>
        <v>4.2131773991691404</v>
      </c>
      <c r="D86" s="6"/>
      <c r="E86" s="10"/>
      <c r="F86" s="10"/>
      <c r="G86" s="10"/>
      <c r="H86" s="10"/>
      <c r="I86" s="10"/>
      <c r="J86" s="10"/>
      <c r="K86" s="10"/>
      <c r="L86" s="10"/>
      <c r="M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</row>
    <row r="87" spans="1:37" x14ac:dyDescent="0.25">
      <c r="A87" s="6">
        <v>6.0999999999999943</v>
      </c>
      <c r="B87" s="6"/>
      <c r="C87" s="6">
        <f t="shared" si="2"/>
        <v>4.2131773991238246</v>
      </c>
      <c r="D87" s="6"/>
      <c r="E87" s="10"/>
      <c r="F87" s="10"/>
      <c r="G87" s="10"/>
      <c r="H87" s="10"/>
      <c r="I87" s="10"/>
      <c r="J87" s="10"/>
      <c r="K87" s="10"/>
      <c r="L87" s="10"/>
      <c r="M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</row>
    <row r="88" spans="1:37" x14ac:dyDescent="0.25">
      <c r="A88" s="6">
        <v>6.199999999999994</v>
      </c>
      <c r="B88" s="6"/>
      <c r="C88" s="6">
        <f t="shared" si="2"/>
        <v>4.2131773990940955</v>
      </c>
      <c r="D88" s="6"/>
      <c r="E88" s="10"/>
      <c r="F88" s="10"/>
      <c r="G88" s="10"/>
      <c r="H88" s="10"/>
      <c r="I88" s="10"/>
      <c r="J88" s="10"/>
      <c r="K88" s="10"/>
      <c r="L88" s="10"/>
      <c r="M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</row>
    <row r="89" spans="1:37" x14ac:dyDescent="0.25">
      <c r="A89" s="6">
        <v>6.2999999999999936</v>
      </c>
      <c r="B89" s="6"/>
      <c r="C89" s="6">
        <f t="shared" si="2"/>
        <v>4.213177399074592</v>
      </c>
      <c r="D89" s="6"/>
      <c r="E89" s="10"/>
      <c r="F89" s="10"/>
      <c r="G89" s="10"/>
      <c r="H89" s="10"/>
      <c r="I89" s="10"/>
      <c r="J89" s="10"/>
      <c r="K89" s="10"/>
      <c r="L89" s="10"/>
      <c r="M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</row>
    <row r="90" spans="1:37" x14ac:dyDescent="0.25">
      <c r="A90" s="6">
        <v>6.3999999999999932</v>
      </c>
      <c r="B90" s="6"/>
      <c r="C90" s="6">
        <f t="shared" si="2"/>
        <v>4.2131773990617969</v>
      </c>
      <c r="D90" s="6"/>
      <c r="E90" s="10"/>
      <c r="F90" s="10"/>
      <c r="G90" s="10"/>
      <c r="H90" s="10"/>
      <c r="I90" s="10"/>
      <c r="J90" s="10"/>
      <c r="K90" s="10"/>
      <c r="L90" s="10"/>
      <c r="M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</row>
    <row r="91" spans="1:37" x14ac:dyDescent="0.25">
      <c r="A91" s="6">
        <v>6.4999999999999929</v>
      </c>
      <c r="B91" s="6"/>
      <c r="C91" s="6">
        <f t="shared" ref="C91:C126" si="3" xml:space="preserve"> LOG((10^$G$5 - 10^$G$4) * EXP(-$G$3 *A91 )  + 10^$G$4)</f>
        <v>4.2131773990534027</v>
      </c>
      <c r="D91" s="6"/>
      <c r="E91" s="10"/>
      <c r="F91" s="10"/>
      <c r="G91" s="10"/>
      <c r="H91" s="10"/>
      <c r="I91" s="10"/>
      <c r="J91" s="10"/>
      <c r="K91" s="10"/>
      <c r="L91" s="10"/>
      <c r="M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</row>
    <row r="92" spans="1:37" x14ac:dyDescent="0.25">
      <c r="A92" s="6">
        <v>6.5999999999999925</v>
      </c>
      <c r="B92" s="6"/>
      <c r="C92" s="6">
        <f t="shared" si="3"/>
        <v>4.213177399047896</v>
      </c>
      <c r="D92" s="6"/>
      <c r="E92" s="10"/>
      <c r="F92" s="10"/>
      <c r="G92" s="10"/>
      <c r="H92" s="10"/>
      <c r="I92" s="10"/>
      <c r="J92" s="10"/>
      <c r="K92" s="10"/>
      <c r="L92" s="10"/>
      <c r="M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</row>
    <row r="93" spans="1:37" x14ac:dyDescent="0.25">
      <c r="A93" s="6">
        <v>6.6999999999999922</v>
      </c>
      <c r="B93" s="6"/>
      <c r="C93" s="6">
        <f t="shared" si="3"/>
        <v>4.2131773990442838</v>
      </c>
      <c r="D93" s="6"/>
      <c r="E93" s="10"/>
      <c r="F93" s="10"/>
      <c r="G93" s="10"/>
      <c r="H93" s="10"/>
      <c r="I93" s="10"/>
      <c r="J93" s="10"/>
      <c r="K93" s="10"/>
      <c r="L93" s="10"/>
      <c r="M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</row>
    <row r="94" spans="1:37" x14ac:dyDescent="0.25">
      <c r="A94" s="6">
        <v>6.7999999999999918</v>
      </c>
      <c r="B94" s="6"/>
      <c r="C94" s="6">
        <f t="shared" si="3"/>
        <v>4.2131773990419132</v>
      </c>
      <c r="D94" s="6"/>
      <c r="E94" s="10"/>
      <c r="F94" s="10"/>
      <c r="G94" s="10"/>
      <c r="H94" s="10"/>
      <c r="I94" s="10"/>
      <c r="J94" s="10"/>
      <c r="K94" s="10"/>
      <c r="L94" s="10"/>
      <c r="M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</row>
    <row r="95" spans="1:37" x14ac:dyDescent="0.25">
      <c r="A95" s="6">
        <v>6.8999999999999915</v>
      </c>
      <c r="B95" s="6"/>
      <c r="C95" s="6">
        <f t="shared" si="3"/>
        <v>4.213177399040358</v>
      </c>
      <c r="D95" s="6"/>
      <c r="E95" s="10"/>
      <c r="F95" s="10"/>
      <c r="G95" s="10"/>
      <c r="H95" s="10"/>
      <c r="I95" s="10"/>
      <c r="J95" s="10"/>
      <c r="K95" s="10"/>
      <c r="L95" s="10"/>
      <c r="M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</row>
    <row r="96" spans="1:37" x14ac:dyDescent="0.25">
      <c r="A96" s="6">
        <v>6.9999999999999911</v>
      </c>
      <c r="B96" s="6"/>
      <c r="C96" s="6">
        <f t="shared" si="3"/>
        <v>4.2131773990393384</v>
      </c>
      <c r="D96" s="6"/>
      <c r="E96" s="10"/>
      <c r="F96" s="10"/>
      <c r="G96" s="10"/>
      <c r="H96" s="10"/>
      <c r="I96" s="10"/>
      <c r="J96" s="10"/>
      <c r="K96" s="10"/>
      <c r="L96" s="10"/>
      <c r="M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</row>
    <row r="97" spans="1:37" x14ac:dyDescent="0.25">
      <c r="A97" s="6">
        <v>7.0999999999999908</v>
      </c>
      <c r="B97" s="6"/>
      <c r="C97" s="6">
        <f t="shared" si="3"/>
        <v>4.2131773990386687</v>
      </c>
      <c r="D97" s="6"/>
      <c r="E97" s="10"/>
      <c r="F97" s="10"/>
      <c r="G97" s="10"/>
      <c r="H97" s="10"/>
      <c r="I97" s="10"/>
      <c r="J97" s="10"/>
      <c r="K97" s="10"/>
      <c r="L97" s="10"/>
      <c r="M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</row>
    <row r="98" spans="1:37" x14ac:dyDescent="0.25">
      <c r="A98" s="6">
        <v>7.1999999999999904</v>
      </c>
      <c r="B98" s="6"/>
      <c r="C98" s="6">
        <f t="shared" si="3"/>
        <v>4.21317739903823</v>
      </c>
      <c r="D98" s="6"/>
      <c r="E98" s="10"/>
      <c r="F98" s="10"/>
      <c r="G98" s="10"/>
      <c r="H98" s="10"/>
      <c r="I98" s="10"/>
      <c r="J98" s="10"/>
      <c r="K98" s="10"/>
      <c r="L98" s="10"/>
      <c r="M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</row>
    <row r="99" spans="1:37" x14ac:dyDescent="0.25">
      <c r="A99" s="6">
        <v>7.2999999999999901</v>
      </c>
      <c r="B99" s="6"/>
      <c r="C99" s="6">
        <f t="shared" si="3"/>
        <v>4.2131773990379422</v>
      </c>
      <c r="D99" s="6"/>
      <c r="E99" s="10"/>
      <c r="F99" s="10"/>
      <c r="G99" s="10"/>
      <c r="H99" s="10"/>
      <c r="I99" s="10"/>
      <c r="J99" s="10"/>
      <c r="K99" s="10"/>
      <c r="L99" s="10"/>
      <c r="M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</row>
    <row r="100" spans="1:37" x14ac:dyDescent="0.25">
      <c r="A100" s="6">
        <v>7.3999999999999897</v>
      </c>
      <c r="B100" s="6"/>
      <c r="C100" s="6">
        <f t="shared" si="3"/>
        <v>4.213177399037753</v>
      </c>
      <c r="D100" s="6"/>
      <c r="E100" s="10"/>
      <c r="F100" s="10"/>
      <c r="G100" s="10"/>
      <c r="H100" s="10"/>
      <c r="I100" s="10"/>
      <c r="J100" s="10"/>
      <c r="K100" s="10"/>
      <c r="L100" s="10"/>
      <c r="M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</row>
    <row r="101" spans="1:37" x14ac:dyDescent="0.25">
      <c r="A101" s="6">
        <v>7.4999999999999893</v>
      </c>
      <c r="B101" s="6"/>
      <c r="C101" s="6">
        <f t="shared" si="3"/>
        <v>4.2131773990376296</v>
      </c>
      <c r="D101" s="6"/>
      <c r="E101" s="10"/>
      <c r="F101" s="10"/>
      <c r="G101" s="10"/>
      <c r="H101" s="10"/>
      <c r="I101" s="10"/>
      <c r="J101" s="10"/>
      <c r="K101" s="10"/>
      <c r="L101" s="10"/>
      <c r="M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</row>
    <row r="102" spans="1:37" x14ac:dyDescent="0.25">
      <c r="A102" s="6">
        <v>7.599999999999989</v>
      </c>
      <c r="B102" s="6"/>
      <c r="C102" s="6">
        <f t="shared" si="3"/>
        <v>4.2131773990375478</v>
      </c>
      <c r="D102" s="6"/>
      <c r="E102" s="10"/>
      <c r="F102" s="10"/>
      <c r="G102" s="10"/>
      <c r="H102" s="10"/>
      <c r="I102" s="10"/>
      <c r="J102" s="10"/>
      <c r="K102" s="10"/>
      <c r="L102" s="10"/>
      <c r="M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</row>
    <row r="103" spans="1:37" x14ac:dyDescent="0.25">
      <c r="A103" s="6">
        <v>7.6999999999999886</v>
      </c>
      <c r="B103" s="6"/>
      <c r="C103" s="6">
        <f t="shared" si="3"/>
        <v>4.2131773990374946</v>
      </c>
      <c r="D103" s="6"/>
      <c r="E103" s="10"/>
      <c r="F103" s="10"/>
      <c r="G103" s="10"/>
      <c r="H103" s="10"/>
      <c r="I103" s="10"/>
      <c r="J103" s="10"/>
      <c r="K103" s="10"/>
      <c r="L103" s="10"/>
      <c r="M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</row>
    <row r="104" spans="1:37" x14ac:dyDescent="0.25">
      <c r="A104" s="6">
        <v>7.7999999999999883</v>
      </c>
      <c r="B104" s="6"/>
      <c r="C104" s="6">
        <f t="shared" si="3"/>
        <v>4.2131773990374599</v>
      </c>
      <c r="D104" s="6"/>
      <c r="E104" s="10"/>
      <c r="F104" s="10"/>
      <c r="G104" s="10"/>
      <c r="H104" s="10"/>
      <c r="I104" s="10"/>
      <c r="J104" s="10"/>
      <c r="K104" s="10"/>
      <c r="L104" s="10"/>
      <c r="M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</row>
    <row r="105" spans="1:37" x14ac:dyDescent="0.25">
      <c r="A105" s="6">
        <v>7.8999999999999879</v>
      </c>
      <c r="B105" s="6"/>
      <c r="C105" s="6">
        <f t="shared" si="3"/>
        <v>4.2131773990374368</v>
      </c>
      <c r="D105" s="6"/>
      <c r="E105" s="10"/>
      <c r="F105" s="10"/>
      <c r="G105" s="10"/>
      <c r="H105" s="10"/>
      <c r="I105" s="10"/>
      <c r="J105" s="10"/>
      <c r="K105" s="10"/>
      <c r="L105" s="10"/>
      <c r="M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</row>
    <row r="106" spans="1:37" x14ac:dyDescent="0.25">
      <c r="A106" s="6">
        <v>7.9999999999999876</v>
      </c>
      <c r="B106" s="6"/>
      <c r="C106" s="6">
        <f t="shared" si="3"/>
        <v>4.2131773990374217</v>
      </c>
      <c r="D106" s="6"/>
      <c r="E106" s="10"/>
      <c r="F106" s="10"/>
      <c r="G106" s="10"/>
      <c r="H106" s="10"/>
      <c r="I106" s="10"/>
      <c r="J106" s="10"/>
      <c r="K106" s="10"/>
      <c r="L106" s="10"/>
      <c r="M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</row>
    <row r="107" spans="1:37" x14ac:dyDescent="0.25">
      <c r="A107" s="6">
        <v>8.0999999999999872</v>
      </c>
      <c r="B107" s="6"/>
      <c r="C107" s="6">
        <f t="shared" si="3"/>
        <v>4.213177399037412</v>
      </c>
      <c r="D107" s="6"/>
      <c r="E107" s="10"/>
      <c r="F107" s="10"/>
      <c r="G107" s="10"/>
      <c r="H107" s="10"/>
      <c r="I107" s="10"/>
      <c r="J107" s="10"/>
      <c r="K107" s="10"/>
      <c r="L107" s="10"/>
      <c r="M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</row>
    <row r="108" spans="1:37" x14ac:dyDescent="0.25">
      <c r="A108" s="6">
        <v>8.1999999999999869</v>
      </c>
      <c r="B108" s="6"/>
      <c r="C108" s="6">
        <f t="shared" si="3"/>
        <v>4.2131773990374048</v>
      </c>
      <c r="D108" s="6"/>
      <c r="E108" s="10"/>
      <c r="F108" s="10"/>
      <c r="G108" s="10"/>
      <c r="H108" s="10"/>
      <c r="I108" s="10"/>
      <c r="J108" s="10"/>
      <c r="K108" s="10"/>
      <c r="L108" s="10"/>
      <c r="M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</row>
    <row r="109" spans="1:37" x14ac:dyDescent="0.25">
      <c r="A109" s="6">
        <v>8.2999999999999865</v>
      </c>
      <c r="B109" s="6"/>
      <c r="C109" s="6">
        <f t="shared" si="3"/>
        <v>4.2131773990374013</v>
      </c>
      <c r="D109" s="6"/>
      <c r="E109" s="10"/>
      <c r="F109" s="10"/>
      <c r="G109" s="10"/>
      <c r="H109" s="10"/>
      <c r="I109" s="10"/>
      <c r="J109" s="10"/>
      <c r="K109" s="10"/>
      <c r="L109" s="10"/>
      <c r="M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</row>
    <row r="110" spans="1:37" x14ac:dyDescent="0.25">
      <c r="A110" s="6">
        <v>8.3999999999999861</v>
      </c>
      <c r="B110" s="6"/>
      <c r="C110" s="6">
        <f t="shared" si="3"/>
        <v>4.2131773990373977</v>
      </c>
      <c r="D110" s="6"/>
      <c r="E110" s="10"/>
      <c r="F110" s="10"/>
      <c r="G110" s="10"/>
      <c r="H110" s="10"/>
      <c r="I110" s="10"/>
      <c r="J110" s="10"/>
      <c r="K110" s="10"/>
      <c r="L110" s="10"/>
      <c r="M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</row>
    <row r="111" spans="1:37" x14ac:dyDescent="0.25">
      <c r="A111" s="6">
        <v>8.4999999999999858</v>
      </c>
      <c r="B111" s="6"/>
      <c r="C111" s="6">
        <f t="shared" si="3"/>
        <v>4.213177399037396</v>
      </c>
      <c r="D111" s="6"/>
      <c r="E111" s="10"/>
      <c r="F111" s="10"/>
      <c r="G111" s="10"/>
      <c r="H111" s="10"/>
      <c r="I111" s="10"/>
      <c r="J111" s="10"/>
      <c r="K111" s="10"/>
      <c r="L111" s="10"/>
      <c r="M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</row>
    <row r="112" spans="1:37" x14ac:dyDescent="0.25">
      <c r="A112" s="6">
        <v>8.5999999999999854</v>
      </c>
      <c r="B112" s="6"/>
      <c r="C112" s="6">
        <f t="shared" si="3"/>
        <v>4.2131773990373951</v>
      </c>
      <c r="D112" s="6"/>
      <c r="E112" s="10"/>
      <c r="F112" s="10"/>
      <c r="G112" s="10"/>
      <c r="H112" s="10"/>
      <c r="I112" s="10"/>
      <c r="J112" s="10"/>
      <c r="K112" s="10"/>
      <c r="L112" s="10"/>
      <c r="M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</row>
    <row r="113" spans="1:37" x14ac:dyDescent="0.25">
      <c r="A113" s="6">
        <v>8.6999999999999851</v>
      </c>
      <c r="B113" s="6"/>
      <c r="C113" s="6">
        <f t="shared" si="3"/>
        <v>4.2131773990373942</v>
      </c>
      <c r="D113" s="6"/>
      <c r="E113" s="10"/>
      <c r="F113" s="10"/>
      <c r="G113" s="10"/>
      <c r="H113" s="10"/>
      <c r="I113" s="10"/>
      <c r="J113" s="10"/>
      <c r="K113" s="10"/>
      <c r="L113" s="10"/>
      <c r="M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</row>
    <row r="114" spans="1:37" x14ac:dyDescent="0.25">
      <c r="A114" s="6">
        <v>8.7999999999999847</v>
      </c>
      <c r="B114" s="6"/>
      <c r="C114" s="6">
        <f t="shared" si="3"/>
        <v>4.2131773990373933</v>
      </c>
      <c r="D114" s="6"/>
      <c r="E114" s="10"/>
      <c r="F114" s="10"/>
      <c r="G114" s="10"/>
      <c r="H114" s="10"/>
      <c r="I114" s="10"/>
      <c r="J114" s="10"/>
      <c r="K114" s="10"/>
      <c r="L114" s="10"/>
      <c r="M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</row>
    <row r="115" spans="1:37" x14ac:dyDescent="0.25">
      <c r="A115" s="6">
        <v>8.8999999999999844</v>
      </c>
      <c r="B115" s="6"/>
      <c r="C115" s="6">
        <f t="shared" si="3"/>
        <v>4.2131773990373933</v>
      </c>
      <c r="D115" s="6"/>
      <c r="E115" s="10"/>
      <c r="F115" s="10"/>
      <c r="G115" s="10"/>
      <c r="H115" s="10"/>
      <c r="I115" s="10"/>
      <c r="J115" s="10"/>
      <c r="K115" s="10"/>
      <c r="L115" s="10"/>
      <c r="M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</row>
    <row r="116" spans="1:37" x14ac:dyDescent="0.25">
      <c r="A116" s="6">
        <v>8.999999999999984</v>
      </c>
      <c r="B116" s="6"/>
      <c r="C116" s="6">
        <f t="shared" si="3"/>
        <v>4.2131773990373933</v>
      </c>
      <c r="D116" s="6"/>
      <c r="E116" s="10"/>
      <c r="F116" s="10"/>
      <c r="G116" s="10"/>
      <c r="H116" s="10"/>
      <c r="I116" s="10"/>
      <c r="J116" s="10"/>
      <c r="K116" s="10"/>
      <c r="L116" s="10"/>
      <c r="M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</row>
    <row r="117" spans="1:37" x14ac:dyDescent="0.25">
      <c r="A117" s="6">
        <v>9.0999999999999837</v>
      </c>
      <c r="B117" s="6"/>
      <c r="C117" s="6">
        <f t="shared" si="3"/>
        <v>4.2131773990373933</v>
      </c>
      <c r="D117" s="6"/>
      <c r="E117" s="10"/>
      <c r="F117" s="10"/>
      <c r="G117" s="10"/>
      <c r="H117" s="10"/>
      <c r="I117" s="10"/>
      <c r="J117" s="10"/>
      <c r="K117" s="10"/>
      <c r="L117" s="10"/>
      <c r="M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</row>
    <row r="118" spans="1:37" x14ac:dyDescent="0.25">
      <c r="A118" s="6">
        <v>9.1999999999999833</v>
      </c>
      <c r="B118" s="6"/>
      <c r="C118" s="6">
        <f t="shared" si="3"/>
        <v>4.2131773990373933</v>
      </c>
      <c r="D118" s="6"/>
      <c r="E118" s="10"/>
      <c r="F118" s="10"/>
      <c r="G118" s="10"/>
      <c r="H118" s="10"/>
      <c r="I118" s="10"/>
      <c r="J118" s="10"/>
      <c r="K118" s="10"/>
      <c r="L118" s="10"/>
      <c r="M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</row>
    <row r="119" spans="1:37" x14ac:dyDescent="0.25">
      <c r="A119" s="6">
        <v>9.2999999999999829</v>
      </c>
      <c r="B119" s="6"/>
      <c r="C119" s="6">
        <f t="shared" si="3"/>
        <v>4.2131773990373924</v>
      </c>
      <c r="D119" s="6"/>
      <c r="E119" s="10"/>
      <c r="F119" s="10"/>
      <c r="G119" s="10"/>
      <c r="H119" s="10"/>
      <c r="I119" s="10"/>
      <c r="J119" s="10"/>
      <c r="K119" s="10"/>
      <c r="L119" s="10"/>
      <c r="M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</row>
    <row r="120" spans="1:37" x14ac:dyDescent="0.25">
      <c r="A120" s="6">
        <v>9.3999999999999826</v>
      </c>
      <c r="B120" s="6"/>
      <c r="C120" s="6">
        <f t="shared" si="3"/>
        <v>4.2131773990373924</v>
      </c>
      <c r="D120" s="6"/>
      <c r="E120" s="10"/>
      <c r="F120" s="10"/>
      <c r="G120" s="10"/>
      <c r="H120" s="10"/>
      <c r="I120" s="10"/>
      <c r="J120" s="10"/>
      <c r="K120" s="10"/>
      <c r="L120" s="10"/>
      <c r="M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</row>
    <row r="121" spans="1:37" x14ac:dyDescent="0.25">
      <c r="A121" s="6">
        <v>9.4999999999999822</v>
      </c>
      <c r="B121" s="6"/>
      <c r="C121" s="6">
        <f t="shared" si="3"/>
        <v>4.2131773990373924</v>
      </c>
      <c r="D121" s="6"/>
      <c r="E121" s="10"/>
      <c r="F121" s="10"/>
      <c r="G121" s="10"/>
      <c r="H121" s="10"/>
      <c r="I121" s="10"/>
      <c r="J121" s="10"/>
      <c r="K121" s="10"/>
      <c r="L121" s="10"/>
      <c r="M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</row>
    <row r="122" spans="1:37" x14ac:dyDescent="0.25">
      <c r="A122" s="6">
        <v>9.5999999999999819</v>
      </c>
      <c r="B122" s="6"/>
      <c r="C122" s="6">
        <f t="shared" si="3"/>
        <v>4.2131773990373924</v>
      </c>
      <c r="D122" s="6"/>
      <c r="E122" s="10"/>
      <c r="F122" s="10"/>
      <c r="G122" s="10"/>
      <c r="H122" s="10"/>
      <c r="I122" s="10"/>
      <c r="J122" s="10"/>
      <c r="K122" s="10"/>
      <c r="L122" s="10"/>
      <c r="M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</row>
    <row r="123" spans="1:37" x14ac:dyDescent="0.25">
      <c r="A123" s="6">
        <v>9.6999999999999815</v>
      </c>
      <c r="B123" s="6"/>
      <c r="C123" s="6">
        <f t="shared" si="3"/>
        <v>4.2131773990373924</v>
      </c>
      <c r="D123" s="6"/>
      <c r="E123" s="10"/>
      <c r="F123" s="10"/>
      <c r="G123" s="10"/>
      <c r="H123" s="10"/>
      <c r="I123" s="10"/>
      <c r="J123" s="10"/>
      <c r="K123" s="10"/>
      <c r="L123" s="10"/>
      <c r="M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</row>
    <row r="124" spans="1:37" x14ac:dyDescent="0.25">
      <c r="A124" s="6">
        <v>9.7999999999999812</v>
      </c>
      <c r="B124" s="6"/>
      <c r="C124" s="6">
        <f t="shared" si="3"/>
        <v>4.2131773990373924</v>
      </c>
      <c r="D124" s="6"/>
      <c r="E124" s="10"/>
      <c r="F124" s="10"/>
      <c r="G124" s="10"/>
      <c r="H124" s="10"/>
      <c r="I124" s="10"/>
      <c r="J124" s="10"/>
      <c r="K124" s="10"/>
      <c r="L124" s="10"/>
      <c r="M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</row>
    <row r="125" spans="1:37" x14ac:dyDescent="0.25">
      <c r="A125" s="6">
        <v>9.8999999999999808</v>
      </c>
      <c r="B125" s="6"/>
      <c r="C125" s="6">
        <f t="shared" si="3"/>
        <v>4.2131773990373924</v>
      </c>
      <c r="D125" s="6"/>
      <c r="E125" s="10"/>
      <c r="F125" s="10"/>
      <c r="G125" s="10"/>
      <c r="H125" s="10"/>
      <c r="I125" s="10"/>
      <c r="J125" s="10"/>
      <c r="K125" s="10"/>
      <c r="L125" s="10"/>
      <c r="M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</row>
    <row r="126" spans="1:37" x14ac:dyDescent="0.25">
      <c r="A126" s="6">
        <v>9.9999999999999805</v>
      </c>
      <c r="B126" s="6"/>
      <c r="C126" s="6">
        <f t="shared" si="3"/>
        <v>4.2131773990373924</v>
      </c>
      <c r="D126" s="6"/>
      <c r="E126" s="10"/>
      <c r="F126" s="10"/>
      <c r="G126" s="10"/>
      <c r="H126" s="10"/>
      <c r="I126" s="10"/>
      <c r="J126" s="10"/>
      <c r="K126" s="10"/>
      <c r="L126" s="10"/>
      <c r="M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</row>
  </sheetData>
  <mergeCells count="1">
    <mergeCell ref="F12:L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80" zoomScaleNormal="80" workbookViewId="0"/>
  </sheetViews>
  <sheetFormatPr defaultRowHeight="15" x14ac:dyDescent="0.25"/>
  <cols>
    <col min="1" max="2" width="10.5703125" style="8" bestFit="1" customWidth="1"/>
    <col min="3" max="3" width="11.42578125" style="8" bestFit="1" customWidth="1"/>
    <col min="4" max="4" width="13.7109375" style="8" bestFit="1" customWidth="1"/>
    <col min="5" max="5" width="9.140625" style="8"/>
    <col min="6" max="6" width="9.5703125" style="8" bestFit="1" customWidth="1"/>
    <col min="7" max="16384" width="9.140625" style="9"/>
  </cols>
  <sheetData>
    <row r="1" spans="1:6" x14ac:dyDescent="0.25">
      <c r="A1" s="8" t="s">
        <v>4</v>
      </c>
      <c r="B1" s="8" t="s">
        <v>5</v>
      </c>
      <c r="C1" s="8" t="s">
        <v>38</v>
      </c>
      <c r="D1" s="8" t="s">
        <v>39</v>
      </c>
      <c r="E1" s="8" t="s">
        <v>6</v>
      </c>
      <c r="F1" s="8" t="s">
        <v>3</v>
      </c>
    </row>
    <row r="2" spans="1:6" x14ac:dyDescent="0.25">
      <c r="A2" s="8">
        <v>12628</v>
      </c>
      <c r="B2" s="8" t="s">
        <v>0</v>
      </c>
      <c r="C2" s="8" t="s">
        <v>40</v>
      </c>
      <c r="D2" s="8" t="s">
        <v>41</v>
      </c>
      <c r="E2" s="6">
        <v>0</v>
      </c>
      <c r="F2" s="17">
        <f>LOG10(6*10^5)</f>
        <v>5.7781512503836439</v>
      </c>
    </row>
    <row r="3" spans="1:6" x14ac:dyDescent="0.25">
      <c r="A3" s="8">
        <v>12628</v>
      </c>
      <c r="B3" s="8" t="s">
        <v>0</v>
      </c>
      <c r="C3" s="8" t="s">
        <v>40</v>
      </c>
      <c r="D3" s="8" t="s">
        <v>41</v>
      </c>
      <c r="E3" s="6">
        <v>1</v>
      </c>
      <c r="F3" s="17">
        <f>LOG10(2.5*10^4)</f>
        <v>4.3979400086720375</v>
      </c>
    </row>
    <row r="4" spans="1:6" x14ac:dyDescent="0.25">
      <c r="A4" s="8">
        <v>12628</v>
      </c>
      <c r="B4" s="8" t="s">
        <v>0</v>
      </c>
      <c r="C4" s="8" t="s">
        <v>40</v>
      </c>
      <c r="D4" s="8" t="s">
        <v>41</v>
      </c>
      <c r="E4" s="6">
        <v>2</v>
      </c>
      <c r="F4" s="17">
        <f>LOG10(7.7*10^3)</f>
        <v>3.8864907251724818</v>
      </c>
    </row>
    <row r="5" spans="1:6" x14ac:dyDescent="0.25">
      <c r="A5" s="8">
        <v>12628</v>
      </c>
      <c r="B5" s="8" t="s">
        <v>0</v>
      </c>
      <c r="C5" s="8" t="s">
        <v>40</v>
      </c>
      <c r="D5" s="8" t="s">
        <v>41</v>
      </c>
      <c r="E5" s="6">
        <v>4</v>
      </c>
      <c r="F5" s="17">
        <f>LOG10(4.7*10^3)</f>
        <v>3.6720978579357175</v>
      </c>
    </row>
    <row r="6" spans="1:6" x14ac:dyDescent="0.25">
      <c r="A6" s="8">
        <v>12628</v>
      </c>
      <c r="B6" s="8" t="s">
        <v>0</v>
      </c>
      <c r="C6" s="8" t="s">
        <v>40</v>
      </c>
      <c r="D6" s="8" t="s">
        <v>41</v>
      </c>
      <c r="E6" s="6">
        <v>6</v>
      </c>
      <c r="F6" s="17">
        <f>LOG10(2.23*10^4)</f>
        <v>4.3483048630481607</v>
      </c>
    </row>
    <row r="7" spans="1:6" x14ac:dyDescent="0.25">
      <c r="A7" s="8">
        <v>12628</v>
      </c>
      <c r="B7" s="8" t="s">
        <v>0</v>
      </c>
      <c r="C7" s="8" t="s">
        <v>40</v>
      </c>
      <c r="D7" s="8" t="s">
        <v>41</v>
      </c>
      <c r="E7" s="6">
        <v>8</v>
      </c>
      <c r="F7" s="17">
        <f>LOG10(2.15*10^4)</f>
        <v>4.3324384599156049</v>
      </c>
    </row>
    <row r="8" spans="1:6" x14ac:dyDescent="0.25">
      <c r="A8" s="8">
        <v>12628</v>
      </c>
      <c r="B8" s="8" t="s">
        <v>0</v>
      </c>
      <c r="C8" s="8" t="s">
        <v>40</v>
      </c>
      <c r="D8" s="8" t="s">
        <v>41</v>
      </c>
      <c r="E8" s="6">
        <v>10</v>
      </c>
      <c r="F8" s="17">
        <f>LOG10(4*10^3)</f>
        <v>3.6020599913279625</v>
      </c>
    </row>
    <row r="9" spans="1:6" x14ac:dyDescent="0.25">
      <c r="A9" s="8">
        <v>12628</v>
      </c>
      <c r="B9" s="8" t="s">
        <v>1</v>
      </c>
      <c r="C9" s="8" t="s">
        <v>40</v>
      </c>
      <c r="D9" s="8" t="s">
        <v>41</v>
      </c>
      <c r="E9" s="6">
        <v>0</v>
      </c>
      <c r="F9" s="17">
        <f>LOG10(6.7*10^5)</f>
        <v>5.826074802700826</v>
      </c>
    </row>
    <row r="10" spans="1:6" x14ac:dyDescent="0.25">
      <c r="A10" s="8">
        <v>12628</v>
      </c>
      <c r="B10" s="8" t="s">
        <v>1</v>
      </c>
      <c r="C10" s="8" t="s">
        <v>40</v>
      </c>
      <c r="D10" s="8" t="s">
        <v>41</v>
      </c>
      <c r="E10" s="6">
        <v>1</v>
      </c>
      <c r="F10" s="17">
        <f>LOG10(2.23*10^4)</f>
        <v>4.3483048630481607</v>
      </c>
    </row>
    <row r="11" spans="1:6" x14ac:dyDescent="0.25">
      <c r="A11" s="8">
        <v>12628</v>
      </c>
      <c r="B11" s="8" t="s">
        <v>1</v>
      </c>
      <c r="C11" s="8" t="s">
        <v>40</v>
      </c>
      <c r="D11" s="8" t="s">
        <v>41</v>
      </c>
      <c r="E11" s="6">
        <v>2</v>
      </c>
      <c r="F11" s="17">
        <f>LOG10(1.5*10^4)</f>
        <v>4.1760912590556813</v>
      </c>
    </row>
    <row r="12" spans="1:6" x14ac:dyDescent="0.25">
      <c r="A12" s="8">
        <v>12628</v>
      </c>
      <c r="B12" s="8" t="s">
        <v>1</v>
      </c>
      <c r="C12" s="8" t="s">
        <v>40</v>
      </c>
      <c r="D12" s="8" t="s">
        <v>41</v>
      </c>
      <c r="E12" s="6">
        <v>4</v>
      </c>
      <c r="F12" s="17">
        <f>LOG10(3.3*10^4)</f>
        <v>4.5185139398778871</v>
      </c>
    </row>
    <row r="13" spans="1:6" x14ac:dyDescent="0.25">
      <c r="A13" s="8">
        <v>12628</v>
      </c>
      <c r="B13" s="8" t="s">
        <v>1</v>
      </c>
      <c r="C13" s="8" t="s">
        <v>40</v>
      </c>
      <c r="D13" s="8" t="s">
        <v>41</v>
      </c>
      <c r="E13" s="6">
        <v>6</v>
      </c>
      <c r="F13" s="17">
        <f>LOG10(2.17*10^4)</f>
        <v>4.3364597338485291</v>
      </c>
    </row>
    <row r="14" spans="1:6" x14ac:dyDescent="0.25">
      <c r="A14" s="8">
        <v>12628</v>
      </c>
      <c r="B14" s="8" t="s">
        <v>1</v>
      </c>
      <c r="C14" s="8" t="s">
        <v>40</v>
      </c>
      <c r="D14" s="8" t="s">
        <v>41</v>
      </c>
      <c r="E14" s="6">
        <v>8</v>
      </c>
      <c r="F14" s="17">
        <f>LOG10(3.35*10^4)</f>
        <v>4.5250448070368456</v>
      </c>
    </row>
    <row r="15" spans="1:6" x14ac:dyDescent="0.25">
      <c r="A15" s="8">
        <v>12628</v>
      </c>
      <c r="B15" s="8" t="s">
        <v>1</v>
      </c>
      <c r="C15" s="8" t="s">
        <v>40</v>
      </c>
      <c r="D15" s="8" t="s">
        <v>41</v>
      </c>
      <c r="E15" s="6">
        <v>10</v>
      </c>
      <c r="F15" s="17">
        <f>LOG10(3.35*10^4)</f>
        <v>4.5250448070368456</v>
      </c>
    </row>
    <row r="16" spans="1:6" x14ac:dyDescent="0.25">
      <c r="A16" s="8">
        <v>12628</v>
      </c>
      <c r="B16" s="8" t="s">
        <v>2</v>
      </c>
      <c r="C16" s="8" t="s">
        <v>40</v>
      </c>
      <c r="D16" s="8" t="s">
        <v>41</v>
      </c>
      <c r="E16" s="6">
        <v>0</v>
      </c>
      <c r="F16" s="17">
        <f>LOG10(3*10^5)</f>
        <v>5.4771212547196626</v>
      </c>
    </row>
    <row r="17" spans="1:6" x14ac:dyDescent="0.25">
      <c r="A17" s="8">
        <v>12628</v>
      </c>
      <c r="B17" s="8" t="s">
        <v>2</v>
      </c>
      <c r="C17" s="8" t="s">
        <v>40</v>
      </c>
      <c r="D17" s="8" t="s">
        <v>41</v>
      </c>
      <c r="E17" s="6">
        <v>1</v>
      </c>
      <c r="F17" s="17">
        <f>LOG10(2.3*10^4)</f>
        <v>4.3617278360175931</v>
      </c>
    </row>
    <row r="18" spans="1:6" x14ac:dyDescent="0.25">
      <c r="A18" s="8">
        <v>12628</v>
      </c>
      <c r="B18" s="8" t="s">
        <v>2</v>
      </c>
      <c r="C18" s="8" t="s">
        <v>40</v>
      </c>
      <c r="D18" s="8" t="s">
        <v>41</v>
      </c>
      <c r="E18" s="6">
        <v>2</v>
      </c>
      <c r="F18" s="17">
        <f>LOG10(3.7*10^4)</f>
        <v>4.568201724066995</v>
      </c>
    </row>
    <row r="19" spans="1:6" x14ac:dyDescent="0.25">
      <c r="A19" s="8">
        <v>12628</v>
      </c>
      <c r="B19" s="8" t="s">
        <v>2</v>
      </c>
      <c r="C19" s="8" t="s">
        <v>40</v>
      </c>
      <c r="D19" s="8" t="s">
        <v>41</v>
      </c>
      <c r="E19" s="6">
        <v>4</v>
      </c>
      <c r="F19" s="17">
        <f>LOG10(1.07*10^4)</f>
        <v>4.0293837776852097</v>
      </c>
    </row>
    <row r="20" spans="1:6" x14ac:dyDescent="0.25">
      <c r="A20" s="8">
        <v>12628</v>
      </c>
      <c r="B20" s="8" t="s">
        <v>2</v>
      </c>
      <c r="C20" s="8" t="s">
        <v>40</v>
      </c>
      <c r="D20" s="8" t="s">
        <v>41</v>
      </c>
      <c r="E20" s="6">
        <v>6</v>
      </c>
      <c r="F20" s="17">
        <f>LOG10(1.6*10^4)</f>
        <v>4.204119982655925</v>
      </c>
    </row>
    <row r="21" spans="1:6" x14ac:dyDescent="0.25">
      <c r="A21" s="8">
        <v>12628</v>
      </c>
      <c r="B21" s="8" t="s">
        <v>2</v>
      </c>
      <c r="C21" s="8" t="s">
        <v>40</v>
      </c>
      <c r="D21" s="8" t="s">
        <v>41</v>
      </c>
      <c r="E21" s="6">
        <v>8</v>
      </c>
      <c r="F21" s="17">
        <f>LOG10(3.5*10^4)</f>
        <v>4.5440680443502757</v>
      </c>
    </row>
    <row r="22" spans="1:6" x14ac:dyDescent="0.25">
      <c r="A22" s="8">
        <v>12628</v>
      </c>
      <c r="B22" s="8" t="s">
        <v>2</v>
      </c>
      <c r="C22" s="8" t="s">
        <v>40</v>
      </c>
      <c r="D22" s="8" t="s">
        <v>41</v>
      </c>
      <c r="E22" s="6">
        <v>10</v>
      </c>
      <c r="F22" s="17">
        <f>LOG10(8.65*10^3)</f>
        <v>3.9370161074648142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6"/>
  <sheetViews>
    <sheetView zoomScale="80" zoomScaleNormal="80" workbookViewId="0"/>
  </sheetViews>
  <sheetFormatPr defaultRowHeight="15" x14ac:dyDescent="0.25"/>
  <cols>
    <col min="1" max="1" width="9.140625" style="8"/>
    <col min="2" max="3" width="9.85546875" style="8" customWidth="1"/>
    <col min="4" max="4" width="9.140625" style="8"/>
    <col min="5" max="5" width="9.140625" style="9"/>
    <col min="6" max="6" width="13.28515625" style="9" bestFit="1" customWidth="1"/>
    <col min="7" max="16384" width="9.140625" style="9"/>
  </cols>
  <sheetData>
    <row r="1" spans="1:37" ht="24" customHeight="1" x14ac:dyDescent="0.25">
      <c r="A1" s="7" t="s">
        <v>6</v>
      </c>
      <c r="B1" s="5" t="s">
        <v>7</v>
      </c>
      <c r="C1" s="5" t="s">
        <v>8</v>
      </c>
      <c r="D1" s="7" t="s">
        <v>9</v>
      </c>
      <c r="E1" s="10"/>
      <c r="F1" s="2" t="s">
        <v>11</v>
      </c>
      <c r="G1" s="2" t="s">
        <v>12</v>
      </c>
      <c r="H1" s="2" t="s">
        <v>19</v>
      </c>
      <c r="I1" s="10"/>
      <c r="K1" s="10"/>
      <c r="L1" s="10"/>
      <c r="M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37" x14ac:dyDescent="0.25">
      <c r="A2" s="6">
        <v>0</v>
      </c>
      <c r="B2" s="6">
        <v>5.6720978579357171</v>
      </c>
      <c r="C2" s="6">
        <f t="shared" ref="C2:C22" si="0" xml:space="preserve"> LOG((10^$G$5 - 10^$G$4) * EXP(-$G$3 *A2 )  + 10^$G$4)</f>
        <v>5.8200584716572319</v>
      </c>
      <c r="D2" s="6">
        <f t="shared" ref="D2:D22" si="1" xml:space="preserve"> (B2 - C2)^2</f>
        <v>2.1892343212847318E-2</v>
      </c>
      <c r="E2" s="10"/>
      <c r="F2" s="10"/>
      <c r="G2" s="10"/>
      <c r="H2" s="10"/>
      <c r="I2" s="10"/>
      <c r="J2" s="10"/>
      <c r="K2" s="10"/>
      <c r="L2" s="4" t="s">
        <v>20</v>
      </c>
      <c r="M2" s="18">
        <v>0.16528033227581232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x14ac:dyDescent="0.25">
      <c r="A3" s="6">
        <v>1</v>
      </c>
      <c r="B3" s="6">
        <v>5</v>
      </c>
      <c r="C3" s="6">
        <f t="shared" si="0"/>
        <v>4.9390399195573114</v>
      </c>
      <c r="D3" s="6">
        <f t="shared" si="1"/>
        <v>3.7161314075790696E-3</v>
      </c>
      <c r="E3" s="10"/>
      <c r="F3" s="10" t="s">
        <v>13</v>
      </c>
      <c r="G3" s="18">
        <v>2.2086155193518855</v>
      </c>
      <c r="H3" s="18">
        <v>0.69478317206094464</v>
      </c>
      <c r="I3" s="10"/>
      <c r="J3" s="10"/>
      <c r="K3" s="10"/>
      <c r="L3" s="4" t="s">
        <v>23</v>
      </c>
      <c r="M3" s="18">
        <f>SQRT(M2)</f>
        <v>0.40654683896915533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x14ac:dyDescent="0.25">
      <c r="A4" s="6">
        <v>2</v>
      </c>
      <c r="B4" s="6">
        <v>4.6720978579357171</v>
      </c>
      <c r="C4" s="6">
        <f t="shared" si="0"/>
        <v>4.3777064854817471</v>
      </c>
      <c r="D4" s="6">
        <f t="shared" si="1"/>
        <v>8.6666280175332067E-2</v>
      </c>
      <c r="E4" s="10"/>
      <c r="F4" s="10" t="s">
        <v>24</v>
      </c>
      <c r="G4" s="18">
        <v>4.2063398748363134</v>
      </c>
      <c r="H4" s="18">
        <v>0.11559568357409866</v>
      </c>
      <c r="I4" s="10"/>
      <c r="J4" s="10"/>
      <c r="K4" s="10"/>
      <c r="L4" s="4" t="s">
        <v>21</v>
      </c>
      <c r="M4" s="18">
        <v>0.694546345519786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 x14ac:dyDescent="0.25">
      <c r="A5" s="6">
        <v>4</v>
      </c>
      <c r="B5" s="6">
        <v>4.6989700043360187</v>
      </c>
      <c r="C5" s="6">
        <f t="shared" si="0"/>
        <v>4.2088678897638747</v>
      </c>
      <c r="D5" s="6">
        <f t="shared" si="1"/>
        <v>0.24020008270808699</v>
      </c>
      <c r="E5" s="10"/>
      <c r="F5" s="10" t="s">
        <v>14</v>
      </c>
      <c r="G5" s="18">
        <v>5.8200584716572319</v>
      </c>
      <c r="H5" s="18">
        <v>0.22748098791781116</v>
      </c>
      <c r="I5" s="10"/>
      <c r="J5" s="10"/>
      <c r="K5" s="10"/>
      <c r="L5" s="4" t="s">
        <v>22</v>
      </c>
      <c r="M5" s="18">
        <v>0.66060705057753999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pans="1:37" x14ac:dyDescent="0.25">
      <c r="A6" s="6">
        <v>6</v>
      </c>
      <c r="B6" s="6">
        <v>3.1461280356782382</v>
      </c>
      <c r="C6" s="6">
        <f t="shared" si="0"/>
        <v>4.2063704697964521</v>
      </c>
      <c r="D6" s="6">
        <f t="shared" si="1"/>
        <v>1.1241140191049153</v>
      </c>
      <c r="E6" s="10"/>
      <c r="F6" s="10"/>
      <c r="G6" s="10"/>
      <c r="H6" s="10"/>
      <c r="I6" s="10"/>
      <c r="J6" s="10"/>
      <c r="K6" s="10"/>
      <c r="L6" s="10"/>
      <c r="M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x14ac:dyDescent="0.25">
      <c r="A7" s="6">
        <v>8</v>
      </c>
      <c r="B7" s="6">
        <v>3.6857417386022635</v>
      </c>
      <c r="C7" s="6">
        <f t="shared" si="0"/>
        <v>4.2063402440569266</v>
      </c>
      <c r="D7" s="6">
        <f t="shared" si="1"/>
        <v>0.27102280388162892</v>
      </c>
      <c r="E7" s="10"/>
      <c r="F7" s="2" t="s">
        <v>25</v>
      </c>
      <c r="G7" s="10"/>
      <c r="H7" s="10"/>
      <c r="I7" s="10"/>
      <c r="J7" s="10"/>
      <c r="K7" s="10"/>
      <c r="L7" s="10"/>
      <c r="M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1:37" x14ac:dyDescent="0.25">
      <c r="A8" s="6">
        <v>10</v>
      </c>
      <c r="B8" s="6">
        <v>3.6384892569546374</v>
      </c>
      <c r="C8" s="6">
        <f t="shared" si="0"/>
        <v>4.2063398792919227</v>
      </c>
      <c r="D8" s="6">
        <f t="shared" si="1"/>
        <v>0.32245432928884216</v>
      </c>
      <c r="E8" s="10"/>
      <c r="F8" s="10" t="s">
        <v>29</v>
      </c>
      <c r="G8" s="10"/>
      <c r="H8" s="10"/>
      <c r="I8" s="10"/>
      <c r="J8" s="10"/>
      <c r="K8" s="10"/>
      <c r="L8" s="10"/>
      <c r="M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1:37" x14ac:dyDescent="0.25">
      <c r="A9" s="6">
        <v>0</v>
      </c>
      <c r="B9" s="6">
        <v>5.826074802700826</v>
      </c>
      <c r="C9" s="6">
        <f t="shared" si="0"/>
        <v>5.8200584716572319</v>
      </c>
      <c r="D9" s="6">
        <f t="shared" si="1"/>
        <v>3.6196239226114243E-5</v>
      </c>
      <c r="E9" s="10"/>
      <c r="F9" s="2" t="s">
        <v>28</v>
      </c>
      <c r="G9" s="10"/>
      <c r="H9" s="10"/>
      <c r="I9" s="10"/>
      <c r="J9" s="10"/>
      <c r="K9" s="10"/>
      <c r="L9" s="10"/>
      <c r="M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1:37" x14ac:dyDescent="0.25">
      <c r="A10" s="6">
        <v>1</v>
      </c>
      <c r="B10" s="6">
        <v>4.8450980400142569</v>
      </c>
      <c r="C10" s="6">
        <f t="shared" si="0"/>
        <v>4.9390399195573114</v>
      </c>
      <c r="D10" s="6">
        <f t="shared" si="1"/>
        <v>8.8250767320817505E-3</v>
      </c>
      <c r="E10" s="10"/>
      <c r="F10" s="10" t="s">
        <v>30</v>
      </c>
      <c r="G10" s="10"/>
      <c r="H10" s="10"/>
      <c r="I10" s="10"/>
      <c r="J10" s="10"/>
      <c r="K10" s="10"/>
      <c r="L10" s="10"/>
      <c r="M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spans="1:37" x14ac:dyDescent="0.25">
      <c r="A11" s="6">
        <v>2</v>
      </c>
      <c r="B11" s="6">
        <v>4.0530784434834199</v>
      </c>
      <c r="C11" s="6">
        <f t="shared" si="0"/>
        <v>4.3777064854817471</v>
      </c>
      <c r="D11" s="6">
        <f t="shared" si="1"/>
        <v>0.10538336565166767</v>
      </c>
      <c r="E11" s="10"/>
      <c r="F11" s="2" t="s">
        <v>26</v>
      </c>
      <c r="G11" s="10"/>
      <c r="H11" s="10"/>
      <c r="I11" s="10"/>
      <c r="J11" s="10"/>
      <c r="K11" s="10"/>
      <c r="L11" s="10"/>
      <c r="M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x14ac:dyDescent="0.25">
      <c r="A12" s="6">
        <v>4</v>
      </c>
      <c r="B12" s="6">
        <v>4.4771212547196626</v>
      </c>
      <c r="C12" s="6">
        <f t="shared" si="0"/>
        <v>4.2088678897638747</v>
      </c>
      <c r="D12" s="6">
        <f t="shared" si="1"/>
        <v>7.1959867810103134E-2</v>
      </c>
      <c r="E12" s="10"/>
      <c r="F12" s="22" t="s">
        <v>27</v>
      </c>
      <c r="G12" s="23"/>
      <c r="H12" s="23"/>
      <c r="I12" s="23"/>
      <c r="J12" s="23"/>
      <c r="K12" s="23"/>
      <c r="L12" s="23"/>
      <c r="M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x14ac:dyDescent="0.25">
      <c r="A13" s="6">
        <v>6</v>
      </c>
      <c r="B13" s="6">
        <v>4.5185139398778871</v>
      </c>
      <c r="C13" s="6">
        <f t="shared" si="0"/>
        <v>4.2063704697964521</v>
      </c>
      <c r="D13" s="6">
        <f t="shared" si="1"/>
        <v>9.7433545914479669E-2</v>
      </c>
      <c r="E13" s="10"/>
      <c r="F13" s="23"/>
      <c r="G13" s="23"/>
      <c r="H13" s="23"/>
      <c r="I13" s="23"/>
      <c r="J13" s="23"/>
      <c r="K13" s="23"/>
      <c r="L13" s="23"/>
      <c r="M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37" x14ac:dyDescent="0.25">
      <c r="A14" s="6">
        <v>8</v>
      </c>
      <c r="B14" s="6">
        <v>4.7283537820212285</v>
      </c>
      <c r="C14" s="6">
        <f t="shared" si="0"/>
        <v>4.2063402440569266</v>
      </c>
      <c r="D14" s="6">
        <f t="shared" si="1"/>
        <v>0.27249813381800758</v>
      </c>
      <c r="E14" s="10"/>
      <c r="F14" s="23"/>
      <c r="G14" s="23"/>
      <c r="H14" s="23"/>
      <c r="I14" s="23"/>
      <c r="J14" s="23"/>
      <c r="K14" s="23"/>
      <c r="L14" s="23"/>
      <c r="M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x14ac:dyDescent="0.25">
      <c r="A15" s="6">
        <v>10</v>
      </c>
      <c r="B15" s="6">
        <v>4.0413926851582254</v>
      </c>
      <c r="C15" s="6">
        <f t="shared" si="0"/>
        <v>4.2063398792919227</v>
      </c>
      <c r="D15" s="6">
        <f t="shared" si="1"/>
        <v>2.7207576852579622E-2</v>
      </c>
      <c r="E15" s="10"/>
      <c r="F15" s="10"/>
      <c r="G15" s="10"/>
      <c r="H15" s="10"/>
      <c r="I15" s="10"/>
      <c r="J15" s="10"/>
      <c r="K15" s="10"/>
      <c r="L15" s="10"/>
      <c r="M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x14ac:dyDescent="0.25">
      <c r="A16" s="6">
        <v>0</v>
      </c>
      <c r="B16" s="6">
        <v>5.9190780923760737</v>
      </c>
      <c r="C16" s="6">
        <f t="shared" si="0"/>
        <v>5.8200584716572319</v>
      </c>
      <c r="D16" s="6">
        <f t="shared" si="1"/>
        <v>9.8048852873032933E-3</v>
      </c>
      <c r="E16" s="10"/>
      <c r="F16" s="10"/>
      <c r="G16" s="10"/>
      <c r="H16" s="10"/>
      <c r="I16" s="10"/>
      <c r="J16" s="10"/>
      <c r="K16" s="10"/>
      <c r="L16" s="10"/>
      <c r="M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x14ac:dyDescent="0.25">
      <c r="A17" s="6">
        <v>1</v>
      </c>
      <c r="B17" s="6">
        <v>5.0899051114393981</v>
      </c>
      <c r="C17" s="6">
        <f t="shared" si="0"/>
        <v>4.9390399195573114</v>
      </c>
      <c r="D17" s="6">
        <f t="shared" si="1"/>
        <v>2.2760306121618838E-2</v>
      </c>
      <c r="E17" s="10"/>
      <c r="F17" s="10"/>
      <c r="G17" s="10"/>
      <c r="H17" s="10"/>
      <c r="I17" s="10"/>
      <c r="J17" s="10"/>
      <c r="K17" s="10"/>
      <c r="L17" s="10"/>
      <c r="M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</row>
    <row r="18" spans="1:37" x14ac:dyDescent="0.25">
      <c r="A18" s="6">
        <v>2</v>
      </c>
      <c r="B18" s="6">
        <v>4.2227164711475833</v>
      </c>
      <c r="C18" s="6">
        <f t="shared" si="0"/>
        <v>4.3777064854817471</v>
      </c>
      <c r="D18" s="6">
        <f t="shared" si="1"/>
        <v>2.4021904543304304E-2</v>
      </c>
      <c r="E18" s="10"/>
      <c r="F18" s="10"/>
      <c r="G18" s="10"/>
      <c r="H18" s="10"/>
      <c r="I18" s="10"/>
      <c r="J18" s="10"/>
      <c r="K18" s="10"/>
      <c r="L18" s="10"/>
      <c r="M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x14ac:dyDescent="0.25">
      <c r="A19" s="6">
        <v>4</v>
      </c>
      <c r="B19" s="6">
        <v>4.5276299008713385</v>
      </c>
      <c r="C19" s="6">
        <f t="shared" si="0"/>
        <v>4.2088678897638747</v>
      </c>
      <c r="D19" s="6">
        <f t="shared" si="1"/>
        <v>0.1016092197252749</v>
      </c>
      <c r="E19" s="10"/>
      <c r="F19" s="10"/>
      <c r="G19" s="10"/>
      <c r="H19" s="10"/>
      <c r="I19" s="10"/>
      <c r="J19" s="10"/>
      <c r="K19" s="10"/>
      <c r="L19" s="10"/>
      <c r="M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1:37" x14ac:dyDescent="0.25">
      <c r="A20" s="6">
        <v>6</v>
      </c>
      <c r="B20" s="6">
        <v>4.2624510897304297</v>
      </c>
      <c r="C20" s="6">
        <f t="shared" si="0"/>
        <v>4.2063704697964521</v>
      </c>
      <c r="D20" s="6">
        <f t="shared" si="1"/>
        <v>3.1450359321792474E-3</v>
      </c>
      <c r="E20" s="10"/>
      <c r="F20" s="10"/>
      <c r="G20" s="10"/>
      <c r="H20" s="10"/>
      <c r="I20" s="10"/>
      <c r="J20" s="10"/>
      <c r="K20" s="10"/>
      <c r="L20" s="10"/>
      <c r="M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</row>
    <row r="21" spans="1:37" x14ac:dyDescent="0.25">
      <c r="A21" s="6">
        <v>8</v>
      </c>
      <c r="B21" s="6">
        <v>4.2671717284030137</v>
      </c>
      <c r="C21" s="6">
        <f t="shared" si="0"/>
        <v>4.2063402440569266</v>
      </c>
      <c r="D21" s="6">
        <f t="shared" si="1"/>
        <v>3.7004694877482394E-3</v>
      </c>
      <c r="E21" s="10"/>
      <c r="F21" s="10"/>
      <c r="G21" s="10"/>
      <c r="H21" s="10"/>
      <c r="I21" s="10"/>
      <c r="J21" s="10"/>
      <c r="K21" s="10"/>
      <c r="L21" s="10"/>
      <c r="M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</row>
    <row r="22" spans="1:37" x14ac:dyDescent="0.25">
      <c r="A22" s="6">
        <v>10</v>
      </c>
      <c r="B22" s="6">
        <v>4.6020599913279625</v>
      </c>
      <c r="C22" s="6">
        <f t="shared" si="0"/>
        <v>4.2063398792919227</v>
      </c>
      <c r="D22" s="6">
        <f t="shared" si="1"/>
        <v>0.15659440706981592</v>
      </c>
      <c r="E22" s="10"/>
      <c r="F22" s="10"/>
      <c r="G22" s="10"/>
      <c r="H22" s="10"/>
      <c r="I22" s="10"/>
      <c r="J22" s="10"/>
      <c r="K22" s="10"/>
      <c r="L22" s="10"/>
      <c r="M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x14ac:dyDescent="0.25">
      <c r="A23" s="7" t="s">
        <v>10</v>
      </c>
      <c r="B23" s="6"/>
      <c r="C23" s="6"/>
      <c r="D23" s="6">
        <f>SUM(D2:D22)</f>
        <v>2.9750459809646217</v>
      </c>
      <c r="E23" s="10"/>
      <c r="F23" s="10"/>
      <c r="G23" s="10"/>
      <c r="H23" s="10"/>
      <c r="I23" s="10"/>
      <c r="J23" s="10"/>
      <c r="K23" s="10"/>
      <c r="L23" s="10"/>
      <c r="M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</row>
    <row r="24" spans="1:37" x14ac:dyDescent="0.25">
      <c r="A24" s="6"/>
      <c r="B24" s="6"/>
      <c r="C24" s="6"/>
      <c r="D24" s="6"/>
      <c r="E24" s="10"/>
      <c r="F24" s="10"/>
      <c r="G24" s="10"/>
      <c r="H24" s="10"/>
      <c r="I24" s="10"/>
      <c r="J24" s="10"/>
      <c r="K24" s="10"/>
      <c r="L24" s="10"/>
      <c r="M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</row>
    <row r="25" spans="1:37" x14ac:dyDescent="0.25">
      <c r="A25" s="6"/>
      <c r="B25" s="6"/>
      <c r="C25" s="6"/>
      <c r="D25" s="6"/>
      <c r="E25" s="10"/>
      <c r="F25" s="10"/>
      <c r="G25" s="10"/>
      <c r="H25" s="10"/>
      <c r="I25" s="10"/>
      <c r="J25" s="10"/>
      <c r="K25" s="10"/>
      <c r="L25" s="10"/>
      <c r="M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</row>
    <row r="26" spans="1:37" x14ac:dyDescent="0.25">
      <c r="A26" s="6">
        <v>0</v>
      </c>
      <c r="B26" s="6"/>
      <c r="C26" s="6">
        <f xml:space="preserve"> LOG((10^$G$5 - 10^$G$4) * EXP(-$G$3 *A26 )  + 10^$G$4)</f>
        <v>5.8200584716572319</v>
      </c>
      <c r="D26" s="6"/>
      <c r="E26" s="10"/>
      <c r="F26" s="10"/>
      <c r="G26" s="10"/>
      <c r="H26" s="10"/>
      <c r="I26" s="10"/>
      <c r="J26" s="10"/>
      <c r="K26" s="10"/>
      <c r="L26" s="10"/>
      <c r="M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</row>
    <row r="27" spans="1:37" x14ac:dyDescent="0.25">
      <c r="A27" s="6">
        <v>0.1</v>
      </c>
      <c r="B27" s="6"/>
      <c r="C27" s="6">
        <f t="shared" ref="C27:C90" si="2" xml:space="preserve"> LOG((10^$G$5 - 10^$G$4) * EXP(-$G$3 *A27 )  + 10^$G$4)</f>
        <v>5.7267440207183462</v>
      </c>
      <c r="D27" s="6"/>
      <c r="E27" s="10"/>
      <c r="F27" s="10"/>
      <c r="G27" s="10"/>
      <c r="H27" s="10"/>
      <c r="I27" s="10"/>
      <c r="J27" s="10"/>
      <c r="K27" s="10"/>
      <c r="L27" s="10"/>
      <c r="M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</row>
    <row r="28" spans="1:37" x14ac:dyDescent="0.25">
      <c r="A28" s="6">
        <v>0.2</v>
      </c>
      <c r="B28" s="6"/>
      <c r="C28" s="6">
        <f t="shared" si="2"/>
        <v>5.6340515392120327</v>
      </c>
      <c r="D28" s="6"/>
      <c r="E28" s="10"/>
      <c r="F28" s="10"/>
      <c r="G28" s="10"/>
      <c r="H28" s="10"/>
      <c r="I28" s="10"/>
      <c r="J28" s="10"/>
      <c r="K28" s="10"/>
      <c r="L28" s="10"/>
      <c r="M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</row>
    <row r="29" spans="1:37" x14ac:dyDescent="0.25">
      <c r="A29" s="6">
        <v>0.30000000000000004</v>
      </c>
      <c r="B29" s="6"/>
      <c r="C29" s="6">
        <f t="shared" si="2"/>
        <v>5.5421231819068417</v>
      </c>
      <c r="D29" s="6"/>
      <c r="E29" s="10"/>
      <c r="F29" s="10"/>
      <c r="G29" s="10"/>
      <c r="H29" s="10"/>
      <c r="I29" s="10"/>
      <c r="J29" s="10"/>
      <c r="K29" s="10"/>
      <c r="L29" s="10"/>
      <c r="M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</row>
    <row r="30" spans="1:37" x14ac:dyDescent="0.25">
      <c r="A30" s="6">
        <v>0.4</v>
      </c>
      <c r="B30" s="6"/>
      <c r="C30" s="6">
        <f t="shared" si="2"/>
        <v>5.451130264803008</v>
      </c>
      <c r="D30" s="6"/>
      <c r="E30" s="10"/>
      <c r="F30" s="10"/>
      <c r="G30" s="10"/>
      <c r="H30" s="10"/>
      <c r="I30" s="10"/>
      <c r="J30" s="10"/>
      <c r="K30" s="10"/>
      <c r="L30" s="10"/>
      <c r="M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</row>
    <row r="31" spans="1:37" x14ac:dyDescent="0.25">
      <c r="A31" s="6">
        <v>0.5</v>
      </c>
      <c r="B31" s="6"/>
      <c r="C31" s="6">
        <f t="shared" si="2"/>
        <v>5.3612775462669306</v>
      </c>
      <c r="D31" s="6"/>
      <c r="E31" s="10"/>
      <c r="F31" s="10"/>
      <c r="G31" s="10"/>
      <c r="H31" s="10"/>
      <c r="I31" s="10"/>
      <c r="J31" s="10"/>
      <c r="K31" s="10"/>
      <c r="L31" s="10"/>
      <c r="M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x14ac:dyDescent="0.25">
      <c r="A32" s="6">
        <v>0.6</v>
      </c>
      <c r="B32" s="6"/>
      <c r="C32" s="6">
        <f t="shared" si="2"/>
        <v>5.2728072661552972</v>
      </c>
      <c r="D32" s="6"/>
      <c r="E32" s="10"/>
      <c r="F32" s="10"/>
      <c r="G32" s="10"/>
      <c r="H32" s="10"/>
      <c r="I32" s="10"/>
      <c r="J32" s="10"/>
      <c r="K32" s="10"/>
      <c r="L32" s="10"/>
      <c r="M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</row>
    <row r="33" spans="1:37" x14ac:dyDescent="0.25">
      <c r="A33" s="6">
        <v>0.7</v>
      </c>
      <c r="B33" s="6"/>
      <c r="C33" s="6">
        <f t="shared" si="2"/>
        <v>5.1860024139052596</v>
      </c>
      <c r="D33" s="6"/>
      <c r="E33" s="10"/>
      <c r="F33" s="10"/>
      <c r="G33" s="10"/>
      <c r="H33" s="10"/>
      <c r="I33" s="10"/>
      <c r="J33" s="10"/>
      <c r="K33" s="10"/>
      <c r="L33" s="10"/>
      <c r="M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</row>
    <row r="34" spans="1:37" x14ac:dyDescent="0.25">
      <c r="A34" s="6">
        <v>0.79999999999999993</v>
      </c>
      <c r="B34" s="6"/>
      <c r="C34" s="6">
        <f t="shared" si="2"/>
        <v>5.1011884812320352</v>
      </c>
      <c r="D34" s="6"/>
      <c r="E34" s="10"/>
      <c r="F34" s="10"/>
      <c r="G34" s="10"/>
      <c r="H34" s="10"/>
      <c r="I34" s="10"/>
      <c r="J34" s="10"/>
      <c r="K34" s="10"/>
      <c r="L34" s="10"/>
      <c r="M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</row>
    <row r="35" spans="1:37" x14ac:dyDescent="0.25">
      <c r="A35" s="6">
        <v>0.89999999999999991</v>
      </c>
      <c r="B35" s="6"/>
      <c r="C35" s="6">
        <f t="shared" si="2"/>
        <v>5.0187327388148679</v>
      </c>
      <c r="D35" s="6"/>
      <c r="E35" s="10"/>
      <c r="F35" s="10"/>
      <c r="G35" s="10"/>
      <c r="H35" s="10"/>
      <c r="I35" s="10"/>
      <c r="J35" s="10"/>
      <c r="K35" s="10"/>
      <c r="L35" s="10"/>
      <c r="M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</row>
    <row r="36" spans="1:37" x14ac:dyDescent="0.25">
      <c r="A36" s="6">
        <v>0.99999999999999989</v>
      </c>
      <c r="B36" s="6"/>
      <c r="C36" s="6">
        <f t="shared" si="2"/>
        <v>4.9390399195573114</v>
      </c>
      <c r="D36" s="6"/>
      <c r="E36" s="10"/>
      <c r="F36" s="10"/>
      <c r="G36" s="10"/>
      <c r="H36" s="10"/>
      <c r="I36" s="10"/>
      <c r="J36" s="10"/>
      <c r="K36" s="10"/>
      <c r="L36" s="10"/>
      <c r="M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</row>
    <row r="37" spans="1:37" x14ac:dyDescent="0.25">
      <c r="A37" s="6">
        <v>1.155</v>
      </c>
      <c r="B37" s="6"/>
      <c r="C37" s="6">
        <f t="shared" si="2"/>
        <v>4.8219942580552368</v>
      </c>
      <c r="D37" s="6"/>
      <c r="E37" s="10"/>
      <c r="F37" s="10"/>
      <c r="G37" s="10"/>
      <c r="H37" s="10"/>
      <c r="I37" s="10"/>
      <c r="J37" s="10"/>
      <c r="K37" s="10"/>
      <c r="L37" s="10"/>
      <c r="M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x14ac:dyDescent="0.25">
      <c r="A38" s="6">
        <v>1.2</v>
      </c>
      <c r="B38" s="6"/>
      <c r="C38" s="6">
        <f t="shared" si="2"/>
        <v>4.7896895417024741</v>
      </c>
      <c r="D38" s="6"/>
      <c r="E38" s="10"/>
      <c r="F38" s="10"/>
      <c r="G38" s="10"/>
      <c r="H38" s="10"/>
      <c r="I38" s="10"/>
      <c r="J38" s="10"/>
      <c r="K38" s="10"/>
      <c r="L38" s="10"/>
      <c r="M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25">
      <c r="A39" s="6">
        <v>1.3</v>
      </c>
      <c r="B39" s="6"/>
      <c r="C39" s="6">
        <f t="shared" si="2"/>
        <v>4.7209194388807738</v>
      </c>
      <c r="D39" s="6"/>
      <c r="E39" s="10"/>
      <c r="F39" s="10"/>
      <c r="G39" s="10"/>
      <c r="H39" s="10"/>
      <c r="I39" s="10"/>
      <c r="J39" s="10"/>
      <c r="K39" s="10"/>
      <c r="L39" s="10"/>
      <c r="M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</row>
    <row r="40" spans="1:37" x14ac:dyDescent="0.25">
      <c r="A40" s="6">
        <v>1.4000000000000001</v>
      </c>
      <c r="B40" s="6"/>
      <c r="C40" s="6">
        <f t="shared" si="2"/>
        <v>4.6566414811909498</v>
      </c>
      <c r="D40" s="6"/>
      <c r="E40" s="10"/>
      <c r="F40" s="10"/>
      <c r="G40" s="10"/>
      <c r="H40" s="10"/>
      <c r="I40" s="10"/>
      <c r="J40" s="10"/>
      <c r="K40" s="10"/>
      <c r="L40" s="10"/>
      <c r="M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</row>
    <row r="41" spans="1:37" x14ac:dyDescent="0.25">
      <c r="A41" s="6">
        <v>1.5000000000000002</v>
      </c>
      <c r="B41" s="6"/>
      <c r="C41" s="6">
        <f t="shared" si="2"/>
        <v>4.5972043119902608</v>
      </c>
      <c r="D41" s="6"/>
      <c r="E41" s="10"/>
      <c r="F41" s="10"/>
      <c r="G41" s="10"/>
      <c r="H41" s="10"/>
      <c r="I41" s="10"/>
      <c r="J41" s="10"/>
      <c r="K41" s="10"/>
      <c r="L41" s="10"/>
      <c r="M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</row>
    <row r="42" spans="1:37" x14ac:dyDescent="0.25">
      <c r="A42" s="6">
        <v>1.6000000000000003</v>
      </c>
      <c r="B42" s="6"/>
      <c r="C42" s="6">
        <f t="shared" si="2"/>
        <v>4.5428691449285719</v>
      </c>
      <c r="D42" s="6"/>
      <c r="E42" s="10"/>
      <c r="F42" s="10"/>
      <c r="G42" s="10"/>
      <c r="H42" s="10"/>
      <c r="I42" s="10"/>
      <c r="J42" s="10"/>
      <c r="K42" s="10"/>
      <c r="L42" s="10"/>
      <c r="M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x14ac:dyDescent="0.25">
      <c r="A43" s="6">
        <v>1.7000000000000004</v>
      </c>
      <c r="B43" s="6"/>
      <c r="C43" s="6">
        <f t="shared" si="2"/>
        <v>4.493787085680359</v>
      </c>
      <c r="D43" s="6"/>
      <c r="E43" s="10"/>
      <c r="F43" s="10"/>
      <c r="G43" s="10"/>
      <c r="H43" s="10"/>
      <c r="I43" s="10"/>
      <c r="J43" s="10"/>
      <c r="K43" s="10"/>
      <c r="L43" s="10"/>
      <c r="M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</row>
    <row r="44" spans="1:37" x14ac:dyDescent="0.25">
      <c r="A44" s="6">
        <v>1.8000000000000005</v>
      </c>
      <c r="B44" s="6"/>
      <c r="C44" s="6">
        <f t="shared" si="2"/>
        <v>4.4499851966225528</v>
      </c>
      <c r="D44" s="6"/>
      <c r="E44" s="10"/>
      <c r="F44" s="10"/>
      <c r="G44" s="10"/>
      <c r="H44" s="10"/>
      <c r="I44" s="10"/>
      <c r="J44" s="10"/>
      <c r="K44" s="10"/>
      <c r="L44" s="10"/>
      <c r="M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</row>
    <row r="45" spans="1:37" x14ac:dyDescent="0.25">
      <c r="A45" s="6">
        <v>1.9000000000000006</v>
      </c>
      <c r="B45" s="6"/>
      <c r="C45" s="6">
        <f t="shared" si="2"/>
        <v>4.4113639380348477</v>
      </c>
      <c r="D45" s="6"/>
      <c r="E45" s="10"/>
      <c r="F45" s="10"/>
      <c r="G45" s="10"/>
      <c r="H45" s="10"/>
      <c r="I45" s="10"/>
      <c r="J45" s="10"/>
      <c r="K45" s="10"/>
      <c r="L45" s="10"/>
      <c r="M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</row>
    <row r="46" spans="1:37" x14ac:dyDescent="0.25">
      <c r="A46" s="6">
        <v>2.0000000000000004</v>
      </c>
      <c r="B46" s="6"/>
      <c r="C46" s="6">
        <f t="shared" si="2"/>
        <v>4.3777064854817471</v>
      </c>
      <c r="D46" s="6"/>
      <c r="E46" s="10"/>
      <c r="F46" s="10"/>
      <c r="G46" s="10"/>
      <c r="H46" s="10"/>
      <c r="I46" s="10"/>
      <c r="J46" s="10"/>
      <c r="K46" s="10"/>
      <c r="L46" s="10"/>
      <c r="M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</row>
    <row r="47" spans="1:37" x14ac:dyDescent="0.25">
      <c r="A47" s="6">
        <v>2.1000000000000005</v>
      </c>
      <c r="B47" s="6"/>
      <c r="C47" s="6">
        <f t="shared" si="2"/>
        <v>4.3486981277115415</v>
      </c>
      <c r="D47" s="6"/>
      <c r="E47" s="10"/>
      <c r="F47" s="10"/>
      <c r="G47" s="10"/>
      <c r="H47" s="10"/>
      <c r="I47" s="10"/>
      <c r="J47" s="10"/>
      <c r="K47" s="10"/>
      <c r="L47" s="10"/>
      <c r="M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</row>
    <row r="48" spans="1:37" x14ac:dyDescent="0.25">
      <c r="A48" s="6">
        <v>2.2000000000000006</v>
      </c>
      <c r="B48" s="6"/>
      <c r="C48" s="6">
        <f t="shared" si="2"/>
        <v>4.323952225000772</v>
      </c>
      <c r="D48" s="6"/>
      <c r="E48" s="10"/>
      <c r="F48" s="10"/>
      <c r="G48" s="10"/>
      <c r="H48" s="10"/>
      <c r="I48" s="10"/>
      <c r="J48" s="10"/>
      <c r="K48" s="10"/>
      <c r="L48" s="10"/>
      <c r="M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</row>
    <row r="49" spans="1:37" x14ac:dyDescent="0.25">
      <c r="A49" s="6">
        <v>2.3000000000000007</v>
      </c>
      <c r="B49" s="6"/>
      <c r="C49" s="6">
        <f t="shared" si="2"/>
        <v>4.3030385219419731</v>
      </c>
      <c r="D49" s="6"/>
      <c r="E49" s="10"/>
      <c r="F49" s="10"/>
      <c r="G49" s="10"/>
      <c r="H49" s="10"/>
      <c r="I49" s="10"/>
      <c r="J49" s="10"/>
      <c r="K49" s="10"/>
      <c r="L49" s="10"/>
      <c r="M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</row>
    <row r="50" spans="1:37" x14ac:dyDescent="0.25">
      <c r="A50" s="6">
        <v>2.4000000000000008</v>
      </c>
      <c r="B50" s="6"/>
      <c r="C50" s="6">
        <f t="shared" si="2"/>
        <v>4.2855099882689638</v>
      </c>
      <c r="D50" s="6"/>
      <c r="E50" s="10"/>
      <c r="F50" s="10"/>
      <c r="G50" s="10"/>
      <c r="H50" s="10"/>
      <c r="I50" s="10"/>
      <c r="J50" s="10"/>
      <c r="K50" s="10"/>
      <c r="L50" s="10"/>
      <c r="M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 x14ac:dyDescent="0.25">
      <c r="A51" s="6">
        <v>2.5000000000000009</v>
      </c>
      <c r="B51" s="6"/>
      <c r="C51" s="6">
        <f t="shared" si="2"/>
        <v>4.2709254651730992</v>
      </c>
      <c r="D51" s="6"/>
      <c r="E51" s="10"/>
      <c r="F51" s="10"/>
      <c r="G51" s="10"/>
      <c r="H51" s="10"/>
      <c r="I51" s="10"/>
      <c r="J51" s="10"/>
      <c r="K51" s="10"/>
      <c r="L51" s="10"/>
      <c r="M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25">
      <c r="A52" s="6">
        <v>2.600000000000001</v>
      </c>
      <c r="B52" s="6"/>
      <c r="C52" s="6">
        <f t="shared" si="2"/>
        <v>4.2588667410609755</v>
      </c>
      <c r="D52" s="6"/>
      <c r="E52" s="10"/>
      <c r="F52" s="10"/>
      <c r="G52" s="10"/>
      <c r="H52" s="10"/>
      <c r="I52" s="10"/>
      <c r="J52" s="10"/>
      <c r="K52" s="10"/>
      <c r="L52" s="10"/>
      <c r="M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</row>
    <row r="53" spans="1:37" x14ac:dyDescent="0.25">
      <c r="A53" s="6">
        <v>2.7000000000000011</v>
      </c>
      <c r="B53" s="6"/>
      <c r="C53" s="6">
        <f t="shared" si="2"/>
        <v>4.2489498687834288</v>
      </c>
      <c r="D53" s="6"/>
      <c r="E53" s="10"/>
      <c r="F53" s="10"/>
      <c r="G53" s="10"/>
      <c r="H53" s="10"/>
      <c r="I53" s="10"/>
      <c r="J53" s="10"/>
      <c r="K53" s="10"/>
      <c r="L53" s="10"/>
      <c r="M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</row>
    <row r="54" spans="1:37" x14ac:dyDescent="0.25">
      <c r="A54" s="6">
        <v>2.8000000000000012</v>
      </c>
      <c r="B54" s="6"/>
      <c r="C54" s="6">
        <f t="shared" si="2"/>
        <v>4.2408313542640492</v>
      </c>
      <c r="D54" s="6"/>
      <c r="E54" s="10"/>
      <c r="F54" s="10"/>
      <c r="G54" s="10"/>
      <c r="H54" s="10"/>
      <c r="I54" s="10"/>
      <c r="J54" s="10"/>
      <c r="K54" s="10"/>
      <c r="L54" s="10"/>
      <c r="M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1:37" x14ac:dyDescent="0.25">
      <c r="A55" s="6">
        <v>2.9000000000000012</v>
      </c>
      <c r="B55" s="6"/>
      <c r="C55" s="6">
        <f t="shared" si="2"/>
        <v>4.2342102635419536</v>
      </c>
      <c r="D55" s="6"/>
      <c r="E55" s="10"/>
      <c r="F55" s="10"/>
      <c r="G55" s="10"/>
      <c r="H55" s="10"/>
      <c r="I55" s="10"/>
      <c r="J55" s="10"/>
      <c r="K55" s="10"/>
      <c r="L55" s="10"/>
      <c r="M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x14ac:dyDescent="0.25">
      <c r="A56" s="6">
        <v>3.0000000000000013</v>
      </c>
      <c r="B56" s="6"/>
      <c r="C56" s="6">
        <f t="shared" si="2"/>
        <v>4.2288273922910786</v>
      </c>
      <c r="D56" s="6"/>
      <c r="E56" s="10"/>
      <c r="F56" s="10"/>
      <c r="G56" s="10"/>
      <c r="H56" s="10"/>
      <c r="I56" s="10"/>
      <c r="J56" s="10"/>
      <c r="K56" s="10"/>
      <c r="L56" s="10"/>
      <c r="M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</row>
    <row r="57" spans="1:37" x14ac:dyDescent="0.25">
      <c r="A57" s="6">
        <v>3.1000000000000014</v>
      </c>
      <c r="B57" s="6"/>
      <c r="C57" s="6">
        <f t="shared" si="2"/>
        <v>4.2244625369557482</v>
      </c>
      <c r="D57" s="6"/>
      <c r="E57" s="10"/>
      <c r="F57" s="10"/>
      <c r="G57" s="10"/>
      <c r="H57" s="10"/>
      <c r="I57" s="10"/>
      <c r="J57" s="10"/>
      <c r="K57" s="10"/>
      <c r="L57" s="10"/>
      <c r="M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</row>
    <row r="58" spans="1:37" x14ac:dyDescent="0.25">
      <c r="A58" s="6">
        <v>3.2000000000000015</v>
      </c>
      <c r="B58" s="6"/>
      <c r="C58" s="6">
        <f t="shared" si="2"/>
        <v>4.2209307062720711</v>
      </c>
      <c r="D58" s="6"/>
      <c r="E58" s="10"/>
      <c r="F58" s="10"/>
      <c r="G58" s="10"/>
      <c r="H58" s="10"/>
      <c r="I58" s="10"/>
      <c r="J58" s="10"/>
      <c r="K58" s="10"/>
      <c r="L58" s="10"/>
      <c r="M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</row>
    <row r="59" spans="1:37" x14ac:dyDescent="0.25">
      <c r="A59" s="6">
        <v>3.3000000000000016</v>
      </c>
      <c r="B59" s="6"/>
      <c r="C59" s="6">
        <f t="shared" si="2"/>
        <v>4.2180778909330376</v>
      </c>
      <c r="D59" s="6"/>
      <c r="E59" s="10"/>
      <c r="F59" s="10"/>
      <c r="G59" s="10"/>
      <c r="H59" s="10"/>
      <c r="I59" s="10"/>
      <c r="J59" s="10"/>
      <c r="K59" s="10"/>
      <c r="L59" s="10"/>
      <c r="M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</row>
    <row r="60" spans="1:37" x14ac:dyDescent="0.25">
      <c r="A60" s="6">
        <v>3.4000000000000017</v>
      </c>
      <c r="B60" s="6"/>
      <c r="C60" s="6">
        <f t="shared" si="2"/>
        <v>4.2157768098151074</v>
      </c>
      <c r="D60" s="6"/>
      <c r="E60" s="10"/>
      <c r="F60" s="10"/>
      <c r="G60" s="10"/>
      <c r="H60" s="10"/>
      <c r="I60" s="10"/>
      <c r="J60" s="10"/>
      <c r="K60" s="10"/>
      <c r="L60" s="10"/>
      <c r="M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</row>
    <row r="61" spans="1:37" x14ac:dyDescent="0.25">
      <c r="A61" s="6">
        <v>3.5000000000000018</v>
      </c>
      <c r="B61" s="6"/>
      <c r="C61" s="6">
        <f t="shared" si="2"/>
        <v>4.2139228912497062</v>
      </c>
      <c r="D61" s="6"/>
      <c r="E61" s="10"/>
      <c r="F61" s="10"/>
      <c r="G61" s="10"/>
      <c r="H61" s="10"/>
      <c r="I61" s="10"/>
      <c r="J61" s="10"/>
      <c r="K61" s="10"/>
      <c r="L61" s="10"/>
      <c r="M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</row>
    <row r="62" spans="1:37" x14ac:dyDescent="0.25">
      <c r="A62" s="6">
        <v>3.6000000000000019</v>
      </c>
      <c r="B62" s="6"/>
      <c r="C62" s="6">
        <f t="shared" si="2"/>
        <v>4.2124306298461205</v>
      </c>
      <c r="D62" s="6"/>
      <c r="E62" s="10"/>
      <c r="F62" s="10"/>
      <c r="G62" s="10"/>
      <c r="H62" s="10"/>
      <c r="I62" s="10"/>
      <c r="J62" s="10"/>
      <c r="K62" s="10"/>
      <c r="L62" s="10"/>
      <c r="M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x14ac:dyDescent="0.25">
      <c r="A63" s="6">
        <v>3.700000000000002</v>
      </c>
      <c r="B63" s="6"/>
      <c r="C63" s="6">
        <f t="shared" si="2"/>
        <v>4.2112303782697573</v>
      </c>
      <c r="D63" s="6"/>
      <c r="E63" s="10"/>
      <c r="F63" s="10"/>
      <c r="G63" s="10"/>
      <c r="H63" s="10"/>
      <c r="I63" s="10"/>
      <c r="J63" s="10"/>
      <c r="K63" s="10"/>
      <c r="L63" s="10"/>
      <c r="M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</row>
    <row r="64" spans="1:37" x14ac:dyDescent="0.25">
      <c r="A64" s="6">
        <v>3.800000000000002</v>
      </c>
      <c r="B64" s="6"/>
      <c r="C64" s="6">
        <f t="shared" si="2"/>
        <v>4.210265581357433</v>
      </c>
      <c r="D64" s="6"/>
      <c r="E64" s="10"/>
      <c r="F64" s="10"/>
      <c r="G64" s="10"/>
      <c r="H64" s="10"/>
      <c r="I64" s="10"/>
      <c r="J64" s="10"/>
      <c r="K64" s="10"/>
      <c r="L64" s="10"/>
      <c r="M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25">
      <c r="A65" s="6">
        <v>3.9000000000000021</v>
      </c>
      <c r="B65" s="6"/>
      <c r="C65" s="6">
        <f t="shared" si="2"/>
        <v>4.20949042920408</v>
      </c>
      <c r="D65" s="6"/>
      <c r="E65" s="10"/>
      <c r="F65" s="10"/>
      <c r="G65" s="10"/>
      <c r="H65" s="10"/>
      <c r="I65" s="10"/>
      <c r="J65" s="10"/>
      <c r="K65" s="10"/>
      <c r="L65" s="10"/>
      <c r="M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</row>
    <row r="66" spans="1:37" x14ac:dyDescent="0.25">
      <c r="A66" s="6">
        <v>4.0000000000000018</v>
      </c>
      <c r="B66" s="6"/>
      <c r="C66" s="6">
        <f t="shared" si="2"/>
        <v>4.2088678897638747</v>
      </c>
      <c r="D66" s="6"/>
      <c r="E66" s="10"/>
      <c r="F66" s="10"/>
      <c r="G66" s="10"/>
      <c r="H66" s="10"/>
      <c r="I66" s="10"/>
      <c r="J66" s="10"/>
      <c r="K66" s="10"/>
      <c r="L66" s="10"/>
      <c r="M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</row>
    <row r="67" spans="1:37" x14ac:dyDescent="0.25">
      <c r="A67" s="6">
        <v>4.1000000000000014</v>
      </c>
      <c r="B67" s="6"/>
      <c r="C67" s="6">
        <f t="shared" si="2"/>
        <v>4.2083680749684511</v>
      </c>
      <c r="D67" s="6"/>
      <c r="E67" s="10"/>
      <c r="F67" s="10"/>
      <c r="G67" s="10"/>
      <c r="H67" s="10"/>
      <c r="I67" s="10"/>
      <c r="J67" s="10"/>
      <c r="K67" s="10"/>
      <c r="L67" s="10"/>
      <c r="M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</row>
    <row r="68" spans="1:37" x14ac:dyDescent="0.25">
      <c r="A68" s="6">
        <v>4.2000000000000011</v>
      </c>
      <c r="B68" s="6"/>
      <c r="C68" s="6">
        <f t="shared" si="2"/>
        <v>4.2079668936870727</v>
      </c>
      <c r="D68" s="6"/>
      <c r="E68" s="10"/>
      <c r="F68" s="10"/>
      <c r="G68" s="10"/>
      <c r="H68" s="10"/>
      <c r="I68" s="10"/>
      <c r="J68" s="10"/>
      <c r="K68" s="10"/>
      <c r="L68" s="10"/>
      <c r="M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x14ac:dyDescent="0.25">
      <c r="A69" s="6">
        <v>4.3000000000000007</v>
      </c>
      <c r="B69" s="6"/>
      <c r="C69" s="6">
        <f t="shared" si="2"/>
        <v>4.2076449475065321</v>
      </c>
      <c r="D69" s="6"/>
      <c r="E69" s="10"/>
      <c r="F69" s="10"/>
      <c r="G69" s="10"/>
      <c r="H69" s="10"/>
      <c r="I69" s="10"/>
      <c r="J69" s="10"/>
      <c r="K69" s="10"/>
      <c r="L69" s="10"/>
      <c r="M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</row>
    <row r="70" spans="1:37" x14ac:dyDescent="0.25">
      <c r="A70" s="6">
        <v>4.4000000000000004</v>
      </c>
      <c r="B70" s="6"/>
      <c r="C70" s="6">
        <f t="shared" si="2"/>
        <v>4.207386629631503</v>
      </c>
      <c r="D70" s="6"/>
      <c r="E70" s="10"/>
      <c r="F70" s="10"/>
      <c r="G70" s="10"/>
      <c r="H70" s="10"/>
      <c r="I70" s="10"/>
      <c r="J70" s="10"/>
      <c r="K70" s="10"/>
      <c r="L70" s="10"/>
      <c r="M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</row>
    <row r="71" spans="1:37" x14ac:dyDescent="0.25">
      <c r="A71" s="6">
        <v>4.5</v>
      </c>
      <c r="B71" s="6"/>
      <c r="C71" s="6">
        <f t="shared" si="2"/>
        <v>4.2071793921593859</v>
      </c>
      <c r="D71" s="6"/>
      <c r="E71" s="10"/>
      <c r="F71" s="10"/>
      <c r="G71" s="10"/>
      <c r="H71" s="10"/>
      <c r="I71" s="10"/>
      <c r="J71" s="10"/>
      <c r="K71" s="10"/>
      <c r="L71" s="10"/>
      <c r="M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</row>
    <row r="72" spans="1:37" x14ac:dyDescent="0.25">
      <c r="A72" s="6">
        <v>4.5999999999999996</v>
      </c>
      <c r="B72" s="6"/>
      <c r="C72" s="6">
        <f t="shared" si="2"/>
        <v>4.2070131519515552</v>
      </c>
      <c r="D72" s="6"/>
      <c r="E72" s="10"/>
      <c r="F72" s="10"/>
      <c r="G72" s="10"/>
      <c r="H72" s="10"/>
      <c r="I72" s="10"/>
      <c r="J72" s="10"/>
      <c r="K72" s="10"/>
      <c r="L72" s="10"/>
      <c r="M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</row>
    <row r="73" spans="1:37" x14ac:dyDescent="0.25">
      <c r="A73" s="6">
        <v>4.6999999999999993</v>
      </c>
      <c r="B73" s="6"/>
      <c r="C73" s="6">
        <f t="shared" si="2"/>
        <v>4.2068798099677975</v>
      </c>
      <c r="D73" s="6"/>
      <c r="E73" s="10"/>
      <c r="F73" s="10"/>
      <c r="G73" s="10"/>
      <c r="H73" s="10"/>
      <c r="I73" s="10"/>
      <c r="J73" s="10"/>
      <c r="K73" s="10"/>
      <c r="L73" s="10"/>
      <c r="M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</row>
    <row r="74" spans="1:37" x14ac:dyDescent="0.25">
      <c r="A74" s="6">
        <v>4.7999999999999989</v>
      </c>
      <c r="B74" s="6"/>
      <c r="C74" s="6">
        <f t="shared" si="2"/>
        <v>4.2067728630916301</v>
      </c>
      <c r="D74" s="6"/>
      <c r="E74" s="10"/>
      <c r="F74" s="10"/>
      <c r="G74" s="10"/>
      <c r="H74" s="10"/>
      <c r="I74" s="10"/>
      <c r="J74" s="10"/>
      <c r="K74" s="10"/>
      <c r="L74" s="10"/>
      <c r="M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</row>
    <row r="75" spans="1:37" x14ac:dyDescent="0.25">
      <c r="A75" s="6">
        <v>4.8999999999999986</v>
      </c>
      <c r="B75" s="6"/>
      <c r="C75" s="6">
        <f t="shared" si="2"/>
        <v>4.206687091096895</v>
      </c>
      <c r="D75" s="6"/>
      <c r="E75" s="10"/>
      <c r="F75" s="10"/>
      <c r="G75" s="10"/>
      <c r="H75" s="10"/>
      <c r="I75" s="10"/>
      <c r="J75" s="10"/>
      <c r="K75" s="10"/>
      <c r="L75" s="10"/>
      <c r="M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</row>
    <row r="76" spans="1:37" x14ac:dyDescent="0.25">
      <c r="A76" s="6">
        <v>4.9999999999999982</v>
      </c>
      <c r="B76" s="6"/>
      <c r="C76" s="6">
        <f t="shared" si="2"/>
        <v>4.2066183044980088</v>
      </c>
      <c r="D76" s="6"/>
      <c r="E76" s="10"/>
      <c r="F76" s="10"/>
      <c r="G76" s="10"/>
      <c r="H76" s="10"/>
      <c r="I76" s="10"/>
      <c r="J76" s="10"/>
      <c r="K76" s="10"/>
      <c r="L76" s="10"/>
      <c r="M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x14ac:dyDescent="0.25">
      <c r="A77" s="6">
        <v>5.0999999999999979</v>
      </c>
      <c r="B77" s="6"/>
      <c r="C77" s="6">
        <f t="shared" si="2"/>
        <v>4.2065631416274112</v>
      </c>
      <c r="D77" s="6"/>
      <c r="E77" s="10"/>
      <c r="F77" s="10"/>
      <c r="G77" s="10"/>
      <c r="H77" s="10"/>
      <c r="I77" s="10"/>
      <c r="J77" s="10"/>
      <c r="K77" s="10"/>
      <c r="L77" s="10"/>
      <c r="M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25">
      <c r="A78" s="6">
        <v>5.1999999999999975</v>
      </c>
      <c r="B78" s="6"/>
      <c r="C78" s="6">
        <f t="shared" si="2"/>
        <v>4.2065189054486378</v>
      </c>
      <c r="D78" s="6"/>
      <c r="E78" s="10"/>
      <c r="F78" s="10"/>
      <c r="G78" s="10"/>
      <c r="H78" s="10"/>
      <c r="I78" s="10"/>
      <c r="J78" s="10"/>
      <c r="K78" s="10"/>
      <c r="L78" s="10"/>
      <c r="M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</row>
    <row r="79" spans="1:37" x14ac:dyDescent="0.25">
      <c r="A79" s="6">
        <v>5.2999999999999972</v>
      </c>
      <c r="B79" s="6"/>
      <c r="C79" s="6">
        <f t="shared" si="2"/>
        <v>4.2064834324006899</v>
      </c>
      <c r="D79" s="6"/>
      <c r="E79" s="10"/>
      <c r="F79" s="10"/>
      <c r="G79" s="10"/>
      <c r="H79" s="10"/>
      <c r="I79" s="10"/>
      <c r="J79" s="10"/>
      <c r="K79" s="10"/>
      <c r="L79" s="10"/>
      <c r="M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</row>
    <row r="80" spans="1:37" x14ac:dyDescent="0.25">
      <c r="A80" s="6">
        <v>5.3999999999999968</v>
      </c>
      <c r="B80" s="6"/>
      <c r="C80" s="6">
        <f t="shared" si="2"/>
        <v>4.2064549870356194</v>
      </c>
      <c r="D80" s="6"/>
      <c r="E80" s="10"/>
      <c r="F80" s="10"/>
      <c r="G80" s="10"/>
      <c r="H80" s="10"/>
      <c r="I80" s="10"/>
      <c r="J80" s="10"/>
      <c r="K80" s="10"/>
      <c r="L80" s="10"/>
      <c r="M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</row>
    <row r="81" spans="1:37" x14ac:dyDescent="0.25">
      <c r="A81" s="6">
        <v>5.4999999999999964</v>
      </c>
      <c r="B81" s="6"/>
      <c r="C81" s="6">
        <f t="shared" si="2"/>
        <v>4.2064321774084759</v>
      </c>
      <c r="D81" s="6"/>
      <c r="E81" s="10"/>
      <c r="F81" s="10"/>
      <c r="G81" s="10"/>
      <c r="H81" s="10"/>
      <c r="I81" s="10"/>
      <c r="J81" s="10"/>
      <c r="K81" s="10"/>
      <c r="L81" s="10"/>
      <c r="M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x14ac:dyDescent="0.25">
      <c r="A82" s="6">
        <v>5.5999999999999961</v>
      </c>
      <c r="B82" s="6"/>
      <c r="C82" s="6">
        <f t="shared" si="2"/>
        <v>4.2064138871525296</v>
      </c>
      <c r="D82" s="6"/>
      <c r="E82" s="10"/>
      <c r="F82" s="10"/>
      <c r="G82" s="10"/>
      <c r="H82" s="10"/>
      <c r="I82" s="10"/>
      <c r="J82" s="10"/>
      <c r="K82" s="10"/>
      <c r="L82" s="10"/>
      <c r="M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</row>
    <row r="83" spans="1:37" x14ac:dyDescent="0.25">
      <c r="A83" s="6">
        <v>5.6999999999999957</v>
      </c>
      <c r="B83" s="6"/>
      <c r="C83" s="6">
        <f t="shared" si="2"/>
        <v>4.206399220962501</v>
      </c>
      <c r="D83" s="6"/>
      <c r="E83" s="10"/>
      <c r="F83" s="10"/>
      <c r="G83" s="10"/>
      <c r="H83" s="10"/>
      <c r="I83" s="10"/>
      <c r="J83" s="10"/>
      <c r="K83" s="10"/>
      <c r="L83" s="10"/>
      <c r="M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</row>
    <row r="84" spans="1:37" x14ac:dyDescent="0.25">
      <c r="A84" s="6">
        <v>5.7999999999999954</v>
      </c>
      <c r="B84" s="6"/>
      <c r="C84" s="6">
        <f t="shared" si="2"/>
        <v>4.2063874608475258</v>
      </c>
      <c r="D84" s="6"/>
      <c r="E84" s="10"/>
      <c r="F84" s="10"/>
      <c r="G84" s="10"/>
      <c r="H84" s="10"/>
      <c r="I84" s="10"/>
      <c r="J84" s="10"/>
      <c r="K84" s="10"/>
      <c r="L84" s="10"/>
      <c r="M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</row>
    <row r="85" spans="1:37" x14ac:dyDescent="0.25">
      <c r="A85" s="6">
        <v>5.899999999999995</v>
      </c>
      <c r="B85" s="6"/>
      <c r="C85" s="6">
        <f t="shared" si="2"/>
        <v>4.2063780310317256</v>
      </c>
      <c r="D85" s="6"/>
      <c r="E85" s="10"/>
      <c r="F85" s="10"/>
      <c r="G85" s="10"/>
      <c r="H85" s="10"/>
      <c r="I85" s="10"/>
      <c r="J85" s="10"/>
      <c r="K85" s="10"/>
      <c r="L85" s="10"/>
      <c r="M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x14ac:dyDescent="0.25">
      <c r="A86" s="6">
        <v>5.9999999999999947</v>
      </c>
      <c r="B86" s="6"/>
      <c r="C86" s="6">
        <f t="shared" si="2"/>
        <v>4.2063704697964521</v>
      </c>
      <c r="D86" s="6"/>
      <c r="E86" s="10"/>
      <c r="F86" s="10"/>
      <c r="G86" s="10"/>
      <c r="H86" s="10"/>
      <c r="I86" s="10"/>
      <c r="J86" s="10"/>
      <c r="K86" s="10"/>
      <c r="L86" s="10"/>
      <c r="M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</row>
    <row r="87" spans="1:37" x14ac:dyDescent="0.25">
      <c r="A87" s="6">
        <v>6.0999999999999943</v>
      </c>
      <c r="B87" s="6"/>
      <c r="C87" s="6">
        <f t="shared" si="2"/>
        <v>4.2063644068935861</v>
      </c>
      <c r="D87" s="6"/>
      <c r="E87" s="10"/>
      <c r="F87" s="10"/>
      <c r="G87" s="10"/>
      <c r="H87" s="10"/>
      <c r="I87" s="10"/>
      <c r="J87" s="10"/>
      <c r="K87" s="10"/>
      <c r="L87" s="10"/>
      <c r="M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</row>
    <row r="88" spans="1:37" x14ac:dyDescent="0.25">
      <c r="A88" s="6">
        <v>6.199999999999994</v>
      </c>
      <c r="B88" s="6"/>
      <c r="C88" s="6">
        <f t="shared" si="2"/>
        <v>4.2063595454290788</v>
      </c>
      <c r="D88" s="6"/>
      <c r="E88" s="10"/>
      <c r="F88" s="10"/>
      <c r="G88" s="10"/>
      <c r="H88" s="10"/>
      <c r="I88" s="10"/>
      <c r="J88" s="10"/>
      <c r="K88" s="10"/>
      <c r="L88" s="10"/>
      <c r="M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</row>
    <row r="89" spans="1:37" x14ac:dyDescent="0.25">
      <c r="A89" s="6">
        <v>6.2999999999999936</v>
      </c>
      <c r="B89" s="6"/>
      <c r="C89" s="6">
        <f t="shared" si="2"/>
        <v>4.2063556473329404</v>
      </c>
      <c r="D89" s="6"/>
      <c r="E89" s="10"/>
      <c r="F89" s="10"/>
      <c r="G89" s="10"/>
      <c r="H89" s="10"/>
      <c r="I89" s="10"/>
      <c r="J89" s="10"/>
      <c r="K89" s="10"/>
      <c r="L89" s="10"/>
      <c r="M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</row>
    <row r="90" spans="1:37" x14ac:dyDescent="0.25">
      <c r="A90" s="6">
        <v>6.3999999999999932</v>
      </c>
      <c r="B90" s="6"/>
      <c r="C90" s="6">
        <f t="shared" si="2"/>
        <v>4.2063525217062665</v>
      </c>
      <c r="D90" s="6"/>
      <c r="E90" s="10"/>
      <c r="F90" s="10"/>
      <c r="G90" s="10"/>
      <c r="H90" s="10"/>
      <c r="I90" s="10"/>
      <c r="J90" s="10"/>
      <c r="K90" s="10"/>
      <c r="L90" s="10"/>
      <c r="M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</row>
    <row r="91" spans="1:37" x14ac:dyDescent="0.25">
      <c r="A91" s="6">
        <v>6.4999999999999929</v>
      </c>
      <c r="B91" s="6"/>
      <c r="C91" s="6">
        <f t="shared" ref="C91:C126" si="3" xml:space="preserve"> LOG((10^$G$5 - 10^$G$4) * EXP(-$G$3 *A91 )  + 10^$G$4)</f>
        <v>4.2063500154760192</v>
      </c>
      <c r="D91" s="6"/>
      <c r="E91" s="10"/>
      <c r="F91" s="10"/>
      <c r="G91" s="10"/>
      <c r="H91" s="10"/>
      <c r="I91" s="10"/>
      <c r="J91" s="10"/>
      <c r="K91" s="10"/>
      <c r="L91" s="10"/>
      <c r="M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</row>
    <row r="92" spans="1:37" x14ac:dyDescent="0.25">
      <c r="A92" s="6">
        <v>6.5999999999999925</v>
      </c>
      <c r="B92" s="6"/>
      <c r="C92" s="6">
        <f t="shared" si="3"/>
        <v>4.2063480059007761</v>
      </c>
      <c r="D92" s="6"/>
      <c r="E92" s="10"/>
      <c r="F92" s="10"/>
      <c r="G92" s="10"/>
      <c r="H92" s="10"/>
      <c r="I92" s="10"/>
      <c r="J92" s="10"/>
      <c r="K92" s="10"/>
      <c r="L92" s="10"/>
      <c r="M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</row>
    <row r="93" spans="1:37" x14ac:dyDescent="0.25">
      <c r="A93" s="6">
        <v>6.6999999999999922</v>
      </c>
      <c r="B93" s="6"/>
      <c r="C93" s="6">
        <f t="shared" si="3"/>
        <v>4.2063463945609953</v>
      </c>
      <c r="D93" s="6"/>
      <c r="E93" s="10"/>
      <c r="F93" s="10"/>
      <c r="G93" s="10"/>
      <c r="H93" s="10"/>
      <c r="I93" s="10"/>
      <c r="J93" s="10"/>
      <c r="K93" s="10"/>
      <c r="L93" s="10"/>
      <c r="M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</row>
    <row r="94" spans="1:37" x14ac:dyDescent="0.25">
      <c r="A94" s="6">
        <v>6.7999999999999918</v>
      </c>
      <c r="B94" s="6"/>
      <c r="C94" s="6">
        <f t="shared" si="3"/>
        <v>4.2063451025398324</v>
      </c>
      <c r="D94" s="6"/>
      <c r="E94" s="10"/>
      <c r="F94" s="10"/>
      <c r="G94" s="10"/>
      <c r="H94" s="10"/>
      <c r="I94" s="10"/>
      <c r="J94" s="10"/>
      <c r="K94" s="10"/>
      <c r="L94" s="10"/>
      <c r="M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</row>
    <row r="95" spans="1:37" x14ac:dyDescent="0.25">
      <c r="A95" s="6">
        <v>6.8999999999999915</v>
      </c>
      <c r="B95" s="6"/>
      <c r="C95" s="6">
        <f t="shared" si="3"/>
        <v>4.2063440665587191</v>
      </c>
      <c r="D95" s="6"/>
      <c r="E95" s="10"/>
      <c r="F95" s="10"/>
      <c r="G95" s="10"/>
      <c r="H95" s="10"/>
      <c r="I95" s="10"/>
      <c r="J95" s="10"/>
      <c r="K95" s="10"/>
      <c r="L95" s="10"/>
      <c r="M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</row>
    <row r="96" spans="1:37" x14ac:dyDescent="0.25">
      <c r="A96" s="6">
        <v>6.9999999999999911</v>
      </c>
      <c r="B96" s="6"/>
      <c r="C96" s="6">
        <f t="shared" si="3"/>
        <v>4.2063432358785962</v>
      </c>
      <c r="D96" s="6"/>
      <c r="E96" s="10"/>
      <c r="F96" s="10"/>
      <c r="G96" s="10"/>
      <c r="H96" s="10"/>
      <c r="I96" s="10"/>
      <c r="J96" s="10"/>
      <c r="K96" s="10"/>
      <c r="L96" s="10"/>
      <c r="M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</row>
    <row r="97" spans="1:37" x14ac:dyDescent="0.25">
      <c r="A97" s="6">
        <v>7.0999999999999908</v>
      </c>
      <c r="B97" s="6"/>
      <c r="C97" s="6">
        <f t="shared" si="3"/>
        <v>4.2063425698151304</v>
      </c>
      <c r="D97" s="6"/>
      <c r="E97" s="10"/>
      <c r="F97" s="10"/>
      <c r="G97" s="10"/>
      <c r="H97" s="10"/>
      <c r="I97" s="10"/>
      <c r="J97" s="10"/>
      <c r="K97" s="10"/>
      <c r="L97" s="10"/>
      <c r="M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</row>
    <row r="98" spans="1:37" x14ac:dyDescent="0.25">
      <c r="A98" s="6">
        <v>7.1999999999999904</v>
      </c>
      <c r="B98" s="6"/>
      <c r="C98" s="6">
        <f t="shared" si="3"/>
        <v>4.2063420357462658</v>
      </c>
      <c r="D98" s="6"/>
      <c r="E98" s="10"/>
      <c r="F98" s="10"/>
      <c r="G98" s="10"/>
      <c r="H98" s="10"/>
      <c r="I98" s="10"/>
      <c r="J98" s="10"/>
      <c r="K98" s="10"/>
      <c r="L98" s="10"/>
      <c r="M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</row>
    <row r="99" spans="1:37" x14ac:dyDescent="0.25">
      <c r="A99" s="6">
        <v>7.2999999999999901</v>
      </c>
      <c r="B99" s="6"/>
      <c r="C99" s="6">
        <f t="shared" si="3"/>
        <v>4.2063416075145899</v>
      </c>
      <c r="D99" s="6"/>
      <c r="E99" s="10"/>
      <c r="F99" s="10"/>
      <c r="G99" s="10"/>
      <c r="H99" s="10"/>
      <c r="I99" s="10"/>
      <c r="J99" s="10"/>
      <c r="K99" s="10"/>
      <c r="L99" s="10"/>
      <c r="M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</row>
    <row r="100" spans="1:37" x14ac:dyDescent="0.25">
      <c r="A100" s="6">
        <v>7.3999999999999897</v>
      </c>
      <c r="B100" s="6"/>
      <c r="C100" s="6">
        <f t="shared" si="3"/>
        <v>4.206341264146273</v>
      </c>
      <c r="D100" s="6"/>
      <c r="E100" s="10"/>
      <c r="F100" s="10"/>
      <c r="G100" s="10"/>
      <c r="H100" s="10"/>
      <c r="I100" s="10"/>
      <c r="J100" s="10"/>
      <c r="K100" s="10"/>
      <c r="L100" s="10"/>
      <c r="M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</row>
    <row r="101" spans="1:37" x14ac:dyDescent="0.25">
      <c r="A101" s="6">
        <v>7.4999999999999893</v>
      </c>
      <c r="B101" s="6"/>
      <c r="C101" s="6">
        <f t="shared" si="3"/>
        <v>4.2063409888238539</v>
      </c>
      <c r="D101" s="6"/>
      <c r="E101" s="10"/>
      <c r="F101" s="10"/>
      <c r="G101" s="10"/>
      <c r="H101" s="10"/>
      <c r="I101" s="10"/>
      <c r="J101" s="10"/>
      <c r="K101" s="10"/>
      <c r="L101" s="10"/>
      <c r="M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</row>
    <row r="102" spans="1:37" x14ac:dyDescent="0.25">
      <c r="A102" s="6">
        <v>7.599999999999989</v>
      </c>
      <c r="B102" s="6"/>
      <c r="C102" s="6">
        <f t="shared" si="3"/>
        <v>4.2063407680625904</v>
      </c>
      <c r="D102" s="6"/>
      <c r="E102" s="10"/>
      <c r="F102" s="10"/>
      <c r="G102" s="10"/>
      <c r="H102" s="10"/>
      <c r="I102" s="10"/>
      <c r="J102" s="10"/>
      <c r="K102" s="10"/>
      <c r="L102" s="10"/>
      <c r="M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</row>
    <row r="103" spans="1:37" x14ac:dyDescent="0.25">
      <c r="A103" s="6">
        <v>7.6999999999999886</v>
      </c>
      <c r="B103" s="6"/>
      <c r="C103" s="6">
        <f t="shared" si="3"/>
        <v>4.206340591050016</v>
      </c>
      <c r="D103" s="6"/>
      <c r="E103" s="10"/>
      <c r="F103" s="10"/>
      <c r="G103" s="10"/>
      <c r="H103" s="10"/>
      <c r="I103" s="10"/>
      <c r="J103" s="10"/>
      <c r="K103" s="10"/>
      <c r="L103" s="10"/>
      <c r="M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</row>
    <row r="104" spans="1:37" x14ac:dyDescent="0.25">
      <c r="A104" s="6">
        <v>7.7999999999999883</v>
      </c>
      <c r="B104" s="6"/>
      <c r="C104" s="6">
        <f t="shared" si="3"/>
        <v>4.2063404491163823</v>
      </c>
      <c r="D104" s="6"/>
      <c r="E104" s="10"/>
      <c r="F104" s="10"/>
      <c r="G104" s="10"/>
      <c r="H104" s="10"/>
      <c r="I104" s="10"/>
      <c r="J104" s="10"/>
      <c r="K104" s="10"/>
      <c r="L104" s="10"/>
      <c r="M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</row>
    <row r="105" spans="1:37" x14ac:dyDescent="0.25">
      <c r="A105" s="6">
        <v>7.8999999999999879</v>
      </c>
      <c r="B105" s="6"/>
      <c r="C105" s="6">
        <f t="shared" si="3"/>
        <v>4.2063403353100313</v>
      </c>
      <c r="D105" s="6"/>
      <c r="E105" s="10"/>
      <c r="F105" s="10"/>
      <c r="G105" s="10"/>
      <c r="H105" s="10"/>
      <c r="I105" s="10"/>
      <c r="J105" s="10"/>
      <c r="K105" s="10"/>
      <c r="L105" s="10"/>
      <c r="M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</row>
    <row r="106" spans="1:37" x14ac:dyDescent="0.25">
      <c r="A106" s="6">
        <v>7.9999999999999876</v>
      </c>
      <c r="B106" s="6"/>
      <c r="C106" s="6">
        <f t="shared" si="3"/>
        <v>4.2063402440569266</v>
      </c>
      <c r="D106" s="6"/>
      <c r="E106" s="10"/>
      <c r="F106" s="10"/>
      <c r="G106" s="10"/>
      <c r="H106" s="10"/>
      <c r="I106" s="10"/>
      <c r="J106" s="10"/>
      <c r="K106" s="10"/>
      <c r="L106" s="10"/>
      <c r="M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</row>
    <row r="107" spans="1:37" x14ac:dyDescent="0.25">
      <c r="A107" s="6">
        <v>8.0999999999999872</v>
      </c>
      <c r="B107" s="6"/>
      <c r="C107" s="6">
        <f t="shared" si="3"/>
        <v>4.206340170887648</v>
      </c>
      <c r="D107" s="6"/>
      <c r="E107" s="10"/>
      <c r="F107" s="10"/>
      <c r="G107" s="10"/>
      <c r="H107" s="10"/>
      <c r="I107" s="10"/>
      <c r="J107" s="10"/>
      <c r="K107" s="10"/>
      <c r="L107" s="10"/>
      <c r="M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</row>
    <row r="108" spans="1:37" x14ac:dyDescent="0.25">
      <c r="A108" s="6">
        <v>8.1999999999999869</v>
      </c>
      <c r="B108" s="6"/>
      <c r="C108" s="6">
        <f t="shared" si="3"/>
        <v>4.2063401122184851</v>
      </c>
      <c r="D108" s="6"/>
      <c r="E108" s="10"/>
      <c r="F108" s="10"/>
      <c r="G108" s="10"/>
      <c r="H108" s="10"/>
      <c r="I108" s="10"/>
      <c r="J108" s="10"/>
      <c r="K108" s="10"/>
      <c r="L108" s="10"/>
      <c r="M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</row>
    <row r="109" spans="1:37" x14ac:dyDescent="0.25">
      <c r="A109" s="6">
        <v>8.2999999999999865</v>
      </c>
      <c r="B109" s="6"/>
      <c r="C109" s="6">
        <f t="shared" si="3"/>
        <v>4.2063400651759206</v>
      </c>
      <c r="D109" s="6"/>
      <c r="E109" s="10"/>
      <c r="F109" s="10"/>
      <c r="G109" s="10"/>
      <c r="H109" s="10"/>
      <c r="I109" s="10"/>
      <c r="J109" s="10"/>
      <c r="K109" s="10"/>
      <c r="L109" s="10"/>
      <c r="M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</row>
    <row r="110" spans="1:37" x14ac:dyDescent="0.25">
      <c r="A110" s="6">
        <v>8.3999999999999861</v>
      </c>
      <c r="B110" s="6"/>
      <c r="C110" s="6">
        <f t="shared" si="3"/>
        <v>4.2063400274558873</v>
      </c>
      <c r="D110" s="6"/>
      <c r="E110" s="10"/>
      <c r="F110" s="10"/>
      <c r="G110" s="10"/>
      <c r="H110" s="10"/>
      <c r="I110" s="10"/>
      <c r="J110" s="10"/>
      <c r="K110" s="10"/>
      <c r="L110" s="10"/>
      <c r="M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</row>
    <row r="111" spans="1:37" x14ac:dyDescent="0.25">
      <c r="A111" s="6">
        <v>8.4999999999999858</v>
      </c>
      <c r="B111" s="6"/>
      <c r="C111" s="6">
        <f t="shared" si="3"/>
        <v>4.2063399972109172</v>
      </c>
      <c r="D111" s="6"/>
      <c r="E111" s="10"/>
      <c r="F111" s="10"/>
      <c r="G111" s="10"/>
      <c r="H111" s="10"/>
      <c r="I111" s="10"/>
      <c r="J111" s="10"/>
      <c r="K111" s="10"/>
      <c r="L111" s="10"/>
      <c r="M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</row>
    <row r="112" spans="1:37" x14ac:dyDescent="0.25">
      <c r="A112" s="6">
        <v>8.5999999999999854</v>
      </c>
      <c r="B112" s="6"/>
      <c r="C112" s="6">
        <f t="shared" si="3"/>
        <v>4.2063399729596611</v>
      </c>
      <c r="D112" s="6"/>
      <c r="E112" s="10"/>
      <c r="F112" s="10"/>
      <c r="G112" s="10"/>
      <c r="H112" s="10"/>
      <c r="I112" s="10"/>
      <c r="J112" s="10"/>
      <c r="K112" s="10"/>
      <c r="L112" s="10"/>
      <c r="M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</row>
    <row r="113" spans="1:37" x14ac:dyDescent="0.25">
      <c r="A113" s="6">
        <v>8.6999999999999851</v>
      </c>
      <c r="B113" s="6"/>
      <c r="C113" s="6">
        <f t="shared" si="3"/>
        <v>4.2063399535143322</v>
      </c>
      <c r="D113" s="6"/>
      <c r="E113" s="10"/>
      <c r="F113" s="10"/>
      <c r="G113" s="10"/>
      <c r="H113" s="10"/>
      <c r="I113" s="10"/>
      <c r="J113" s="10"/>
      <c r="K113" s="10"/>
      <c r="L113" s="10"/>
      <c r="M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</row>
    <row r="114" spans="1:37" x14ac:dyDescent="0.25">
      <c r="A114" s="6">
        <v>8.7999999999999847</v>
      </c>
      <c r="B114" s="6"/>
      <c r="C114" s="6">
        <f t="shared" si="3"/>
        <v>4.2063399379225279</v>
      </c>
      <c r="D114" s="6"/>
      <c r="E114" s="10"/>
      <c r="F114" s="10"/>
      <c r="G114" s="10"/>
      <c r="H114" s="10"/>
      <c r="I114" s="10"/>
      <c r="J114" s="10"/>
      <c r="K114" s="10"/>
      <c r="L114" s="10"/>
      <c r="M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</row>
    <row r="115" spans="1:37" x14ac:dyDescent="0.25">
      <c r="A115" s="6">
        <v>8.8999999999999844</v>
      </c>
      <c r="B115" s="6"/>
      <c r="C115" s="6">
        <f t="shared" si="3"/>
        <v>4.2063399254205871</v>
      </c>
      <c r="D115" s="6"/>
      <c r="E115" s="10"/>
      <c r="F115" s="10"/>
      <c r="G115" s="10"/>
      <c r="H115" s="10"/>
      <c r="I115" s="10"/>
      <c r="J115" s="10"/>
      <c r="K115" s="10"/>
      <c r="L115" s="10"/>
      <c r="M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</row>
    <row r="116" spans="1:37" x14ac:dyDescent="0.25">
      <c r="A116" s="6">
        <v>8.999999999999984</v>
      </c>
      <c r="B116" s="6"/>
      <c r="C116" s="6">
        <f t="shared" si="3"/>
        <v>4.2063399153961853</v>
      </c>
      <c r="D116" s="6"/>
      <c r="E116" s="10"/>
      <c r="F116" s="10"/>
      <c r="G116" s="10"/>
      <c r="H116" s="10"/>
      <c r="I116" s="10"/>
      <c r="J116" s="10"/>
      <c r="K116" s="10"/>
      <c r="L116" s="10"/>
      <c r="M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</row>
    <row r="117" spans="1:37" x14ac:dyDescent="0.25">
      <c r="A117" s="6">
        <v>9.0999999999999837</v>
      </c>
      <c r="B117" s="6"/>
      <c r="C117" s="6">
        <f t="shared" si="3"/>
        <v>4.2063399073583421</v>
      </c>
      <c r="D117" s="6"/>
      <c r="E117" s="10"/>
      <c r="F117" s="10"/>
      <c r="G117" s="10"/>
      <c r="H117" s="10"/>
      <c r="I117" s="10"/>
      <c r="J117" s="10"/>
      <c r="K117" s="10"/>
      <c r="L117" s="10"/>
      <c r="M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</row>
    <row r="118" spans="1:37" x14ac:dyDescent="0.25">
      <c r="A118" s="6">
        <v>9.1999999999999833</v>
      </c>
      <c r="B118" s="6"/>
      <c r="C118" s="6">
        <f t="shared" si="3"/>
        <v>4.2063399009133766</v>
      </c>
      <c r="D118" s="6"/>
      <c r="E118" s="10"/>
      <c r="F118" s="10"/>
      <c r="G118" s="10"/>
      <c r="H118" s="10"/>
      <c r="I118" s="10"/>
      <c r="J118" s="10"/>
      <c r="K118" s="10"/>
      <c r="L118" s="10"/>
      <c r="M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</row>
    <row r="119" spans="1:37" x14ac:dyDescent="0.25">
      <c r="A119" s="6">
        <v>9.2999999999999829</v>
      </c>
      <c r="B119" s="6"/>
      <c r="C119" s="6">
        <f t="shared" si="3"/>
        <v>4.2063398957456251</v>
      </c>
      <c r="D119" s="6"/>
      <c r="E119" s="10"/>
      <c r="F119" s="10"/>
      <c r="G119" s="10"/>
      <c r="H119" s="10"/>
      <c r="I119" s="10"/>
      <c r="J119" s="10"/>
      <c r="K119" s="10"/>
      <c r="L119" s="10"/>
      <c r="M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</row>
    <row r="120" spans="1:37" x14ac:dyDescent="0.25">
      <c r="A120" s="6">
        <v>9.3999999999999826</v>
      </c>
      <c r="B120" s="6"/>
      <c r="C120" s="6">
        <f t="shared" si="3"/>
        <v>4.2063398916019779</v>
      </c>
      <c r="D120" s="6"/>
      <c r="E120" s="10"/>
      <c r="F120" s="10"/>
      <c r="G120" s="10"/>
      <c r="H120" s="10"/>
      <c r="I120" s="10"/>
      <c r="J120" s="10"/>
      <c r="K120" s="10"/>
      <c r="L120" s="10"/>
      <c r="M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</row>
    <row r="121" spans="1:37" x14ac:dyDescent="0.25">
      <c r="A121" s="6">
        <v>9.4999999999999822</v>
      </c>
      <c r="B121" s="6"/>
      <c r="C121" s="6">
        <f t="shared" si="3"/>
        <v>4.206339888279488</v>
      </c>
      <c r="D121" s="6"/>
      <c r="E121" s="10"/>
      <c r="F121" s="10"/>
      <c r="G121" s="10"/>
      <c r="H121" s="10"/>
      <c r="I121" s="10"/>
      <c r="J121" s="10"/>
      <c r="K121" s="10"/>
      <c r="L121" s="10"/>
      <c r="M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</row>
    <row r="122" spans="1:37" x14ac:dyDescent="0.25">
      <c r="A122" s="6">
        <v>9.5999999999999819</v>
      </c>
      <c r="B122" s="6"/>
      <c r="C122" s="6">
        <f t="shared" si="3"/>
        <v>4.2063398856154226</v>
      </c>
      <c r="D122" s="6"/>
      <c r="E122" s="10"/>
      <c r="F122" s="10"/>
      <c r="G122" s="10"/>
      <c r="H122" s="10"/>
      <c r="I122" s="10"/>
      <c r="J122" s="10"/>
      <c r="K122" s="10"/>
      <c r="L122" s="10"/>
      <c r="M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</row>
    <row r="123" spans="1:37" x14ac:dyDescent="0.25">
      <c r="A123" s="6">
        <v>9.6999999999999815</v>
      </c>
      <c r="B123" s="6"/>
      <c r="C123" s="6">
        <f t="shared" si="3"/>
        <v>4.206339883479302</v>
      </c>
      <c r="D123" s="6"/>
      <c r="E123" s="10"/>
      <c r="F123" s="10"/>
      <c r="G123" s="10"/>
      <c r="H123" s="10"/>
      <c r="I123" s="10"/>
      <c r="J123" s="10"/>
      <c r="K123" s="10"/>
      <c r="L123" s="10"/>
      <c r="M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</row>
    <row r="124" spans="1:37" x14ac:dyDescent="0.25">
      <c r="A124" s="6">
        <v>9.7999999999999812</v>
      </c>
      <c r="B124" s="6"/>
      <c r="C124" s="6">
        <f t="shared" si="3"/>
        <v>4.2063398817665005</v>
      </c>
      <c r="D124" s="6"/>
      <c r="E124" s="10"/>
      <c r="F124" s="10"/>
      <c r="G124" s="10"/>
      <c r="H124" s="10"/>
      <c r="I124" s="10"/>
      <c r="J124" s="10"/>
      <c r="K124" s="10"/>
      <c r="L124" s="10"/>
      <c r="M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</row>
    <row r="125" spans="1:37" x14ac:dyDescent="0.25">
      <c r="A125" s="6">
        <v>9.8999999999999808</v>
      </c>
      <c r="B125" s="6"/>
      <c r="C125" s="6">
        <f t="shared" si="3"/>
        <v>4.2063398803931298</v>
      </c>
      <c r="D125" s="6"/>
      <c r="E125" s="10"/>
      <c r="F125" s="10"/>
      <c r="G125" s="10"/>
      <c r="H125" s="10"/>
      <c r="I125" s="10"/>
      <c r="J125" s="10"/>
      <c r="K125" s="10"/>
      <c r="L125" s="10"/>
      <c r="M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</row>
    <row r="126" spans="1:37" x14ac:dyDescent="0.25">
      <c r="A126" s="6">
        <v>9.9999999999999805</v>
      </c>
      <c r="B126" s="6"/>
      <c r="C126" s="6">
        <f t="shared" si="3"/>
        <v>4.2063398792919227</v>
      </c>
      <c r="D126" s="6"/>
      <c r="E126" s="10"/>
      <c r="F126" s="10"/>
      <c r="G126" s="10"/>
      <c r="H126" s="10"/>
      <c r="I126" s="10"/>
      <c r="J126" s="10"/>
      <c r="K126" s="10"/>
      <c r="L126" s="10"/>
      <c r="M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</row>
  </sheetData>
  <mergeCells count="1">
    <mergeCell ref="F12:L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80" zoomScaleNormal="80" workbookViewId="0"/>
  </sheetViews>
  <sheetFormatPr defaultRowHeight="15" x14ac:dyDescent="0.25"/>
  <cols>
    <col min="1" max="2" width="10.5703125" style="8" bestFit="1" customWidth="1"/>
    <col min="3" max="3" width="11.28515625" style="8" bestFit="1" customWidth="1"/>
    <col min="4" max="4" width="13.7109375" bestFit="1" customWidth="1"/>
    <col min="5" max="5" width="9.140625" style="8"/>
    <col min="6" max="6" width="9.5703125" style="8" bestFit="1" customWidth="1"/>
    <col min="7" max="16384" width="9.140625" style="9"/>
  </cols>
  <sheetData>
    <row r="1" spans="1:6" x14ac:dyDescent="0.25">
      <c r="A1" s="8" t="s">
        <v>4</v>
      </c>
      <c r="B1" s="8" t="s">
        <v>5</v>
      </c>
      <c r="C1" s="8" t="s">
        <v>38</v>
      </c>
      <c r="D1" s="8" t="s">
        <v>39</v>
      </c>
      <c r="E1" s="8" t="s">
        <v>6</v>
      </c>
      <c r="F1" s="8" t="s">
        <v>3</v>
      </c>
    </row>
    <row r="2" spans="1:6" x14ac:dyDescent="0.25">
      <c r="A2" s="8">
        <v>12628</v>
      </c>
      <c r="B2" s="8" t="s">
        <v>0</v>
      </c>
      <c r="C2" s="8" t="s">
        <v>42</v>
      </c>
      <c r="D2" t="s">
        <v>41</v>
      </c>
      <c r="E2" s="6">
        <v>0</v>
      </c>
      <c r="F2" s="17">
        <f>LOG10(4.7*10^5)</f>
        <v>5.6720978579357171</v>
      </c>
    </row>
    <row r="3" spans="1:6" x14ac:dyDescent="0.25">
      <c r="A3" s="8">
        <v>12628</v>
      </c>
      <c r="B3" s="8" t="s">
        <v>0</v>
      </c>
      <c r="C3" s="8" t="s">
        <v>42</v>
      </c>
      <c r="D3" t="s">
        <v>41</v>
      </c>
      <c r="E3" s="6">
        <v>1</v>
      </c>
      <c r="F3" s="17">
        <f>LOG10(1*10^5)</f>
        <v>5</v>
      </c>
    </row>
    <row r="4" spans="1:6" x14ac:dyDescent="0.25">
      <c r="A4" s="8">
        <v>12628</v>
      </c>
      <c r="B4" s="8" t="s">
        <v>0</v>
      </c>
      <c r="C4" s="8" t="s">
        <v>42</v>
      </c>
      <c r="D4" t="s">
        <v>41</v>
      </c>
      <c r="E4" s="6">
        <v>2</v>
      </c>
      <c r="F4" s="17">
        <f>LOG10(4.7*10^4)</f>
        <v>4.6720978579357171</v>
      </c>
    </row>
    <row r="5" spans="1:6" x14ac:dyDescent="0.25">
      <c r="A5" s="8">
        <v>12628</v>
      </c>
      <c r="B5" s="8" t="s">
        <v>0</v>
      </c>
      <c r="C5" s="8" t="s">
        <v>42</v>
      </c>
      <c r="D5" t="s">
        <v>41</v>
      </c>
      <c r="E5" s="6">
        <v>4</v>
      </c>
      <c r="F5" s="17">
        <f>LOG10(5*10^4)</f>
        <v>4.6989700043360187</v>
      </c>
    </row>
    <row r="6" spans="1:6" x14ac:dyDescent="0.25">
      <c r="A6" s="8">
        <v>12628</v>
      </c>
      <c r="B6" s="8" t="s">
        <v>0</v>
      </c>
      <c r="C6" s="8" t="s">
        <v>42</v>
      </c>
      <c r="D6" t="s">
        <v>41</v>
      </c>
      <c r="E6" s="6">
        <v>6</v>
      </c>
      <c r="F6" s="17">
        <f>LOG10(1.4*10^3)</f>
        <v>3.1461280356782382</v>
      </c>
    </row>
    <row r="7" spans="1:6" x14ac:dyDescent="0.25">
      <c r="A7" s="8">
        <v>12628</v>
      </c>
      <c r="B7" s="8" t="s">
        <v>0</v>
      </c>
      <c r="C7" s="8" t="s">
        <v>42</v>
      </c>
      <c r="D7" t="s">
        <v>41</v>
      </c>
      <c r="E7" s="6">
        <v>8</v>
      </c>
      <c r="F7" s="17">
        <f>LOG10(4.85*10^3)</f>
        <v>3.6857417386022635</v>
      </c>
    </row>
    <row r="8" spans="1:6" x14ac:dyDescent="0.25">
      <c r="A8" s="8">
        <v>12628</v>
      </c>
      <c r="B8" s="8" t="s">
        <v>0</v>
      </c>
      <c r="C8" s="8" t="s">
        <v>42</v>
      </c>
      <c r="D8" t="s">
        <v>41</v>
      </c>
      <c r="E8" s="6">
        <v>10</v>
      </c>
      <c r="F8" s="17">
        <f>LOG10(4.35*10^3)</f>
        <v>3.6384892569546374</v>
      </c>
    </row>
    <row r="9" spans="1:6" x14ac:dyDescent="0.25">
      <c r="A9" s="8">
        <v>12628</v>
      </c>
      <c r="B9" s="8" t="s">
        <v>1</v>
      </c>
      <c r="C9" s="8" t="s">
        <v>42</v>
      </c>
      <c r="D9" t="s">
        <v>41</v>
      </c>
      <c r="E9" s="6">
        <v>0</v>
      </c>
      <c r="F9" s="17">
        <f>LOG10(6.7*10^5)</f>
        <v>5.826074802700826</v>
      </c>
    </row>
    <row r="10" spans="1:6" x14ac:dyDescent="0.25">
      <c r="A10" s="8">
        <v>12628</v>
      </c>
      <c r="B10" s="8" t="s">
        <v>1</v>
      </c>
      <c r="C10" s="8" t="s">
        <v>42</v>
      </c>
      <c r="D10" t="s">
        <v>41</v>
      </c>
      <c r="E10" s="6">
        <v>1</v>
      </c>
      <c r="F10" s="17">
        <f>LOG10(7*10^4)</f>
        <v>4.8450980400142569</v>
      </c>
    </row>
    <row r="11" spans="1:6" x14ac:dyDescent="0.25">
      <c r="A11" s="8">
        <v>12628</v>
      </c>
      <c r="B11" s="8" t="s">
        <v>1</v>
      </c>
      <c r="C11" s="8" t="s">
        <v>42</v>
      </c>
      <c r="D11" t="s">
        <v>41</v>
      </c>
      <c r="E11" s="6">
        <v>2</v>
      </c>
      <c r="F11" s="17">
        <f>LOG10(1.13*10^4)</f>
        <v>4.0530784434834199</v>
      </c>
    </row>
    <row r="12" spans="1:6" x14ac:dyDescent="0.25">
      <c r="A12" s="8">
        <v>12628</v>
      </c>
      <c r="B12" s="8" t="s">
        <v>1</v>
      </c>
      <c r="C12" s="8" t="s">
        <v>42</v>
      </c>
      <c r="D12" t="s">
        <v>41</v>
      </c>
      <c r="E12" s="6">
        <v>4</v>
      </c>
      <c r="F12" s="17">
        <f>LOG10(3*10^4)</f>
        <v>4.4771212547196626</v>
      </c>
    </row>
    <row r="13" spans="1:6" x14ac:dyDescent="0.25">
      <c r="A13" s="8">
        <v>12628</v>
      </c>
      <c r="B13" s="8" t="s">
        <v>1</v>
      </c>
      <c r="C13" s="8" t="s">
        <v>42</v>
      </c>
      <c r="D13" t="s">
        <v>41</v>
      </c>
      <c r="E13" s="6">
        <v>6</v>
      </c>
      <c r="F13" s="17">
        <f>LOG10(3.3*10^4)</f>
        <v>4.5185139398778871</v>
      </c>
    </row>
    <row r="14" spans="1:6" x14ac:dyDescent="0.25">
      <c r="A14" s="8">
        <v>12628</v>
      </c>
      <c r="B14" s="8" t="s">
        <v>1</v>
      </c>
      <c r="C14" s="8" t="s">
        <v>42</v>
      </c>
      <c r="D14" t="s">
        <v>41</v>
      </c>
      <c r="E14" s="6">
        <v>8</v>
      </c>
      <c r="F14" s="17">
        <f>LOG10(5.35*10^4)</f>
        <v>4.7283537820212285</v>
      </c>
    </row>
    <row r="15" spans="1:6" x14ac:dyDescent="0.25">
      <c r="A15" s="8">
        <v>12628</v>
      </c>
      <c r="B15" s="8" t="s">
        <v>1</v>
      </c>
      <c r="C15" s="8" t="s">
        <v>42</v>
      </c>
      <c r="D15" t="s">
        <v>41</v>
      </c>
      <c r="E15" s="6">
        <v>10</v>
      </c>
      <c r="F15" s="17">
        <f>LOG10(1.1*10^4)</f>
        <v>4.0413926851582254</v>
      </c>
    </row>
    <row r="16" spans="1:6" x14ac:dyDescent="0.25">
      <c r="A16" s="8">
        <v>12628</v>
      </c>
      <c r="B16" s="8" t="s">
        <v>2</v>
      </c>
      <c r="C16" s="8" t="s">
        <v>42</v>
      </c>
      <c r="D16" t="s">
        <v>41</v>
      </c>
      <c r="E16" s="6">
        <v>0</v>
      </c>
      <c r="F16" s="17">
        <f>LOG10(8.3*10^5)</f>
        <v>5.9190780923760737</v>
      </c>
    </row>
    <row r="17" spans="1:6" x14ac:dyDescent="0.25">
      <c r="A17" s="8">
        <v>12628</v>
      </c>
      <c r="B17" s="8" t="s">
        <v>2</v>
      </c>
      <c r="C17" s="8" t="s">
        <v>42</v>
      </c>
      <c r="D17" t="s">
        <v>41</v>
      </c>
      <c r="E17" s="6">
        <v>1</v>
      </c>
      <c r="F17" s="17">
        <f>LOG10(1.23*10^5)</f>
        <v>5.0899051114393981</v>
      </c>
    </row>
    <row r="18" spans="1:6" x14ac:dyDescent="0.25">
      <c r="A18" s="8">
        <v>12628</v>
      </c>
      <c r="B18" s="8" t="s">
        <v>2</v>
      </c>
      <c r="C18" s="8" t="s">
        <v>42</v>
      </c>
      <c r="D18" t="s">
        <v>41</v>
      </c>
      <c r="E18" s="6">
        <v>2</v>
      </c>
      <c r="F18" s="17">
        <f>LOG10(1.67*10^4)</f>
        <v>4.2227164711475833</v>
      </c>
    </row>
    <row r="19" spans="1:6" x14ac:dyDescent="0.25">
      <c r="A19" s="8">
        <v>12628</v>
      </c>
      <c r="B19" s="8" t="s">
        <v>2</v>
      </c>
      <c r="C19" s="8" t="s">
        <v>42</v>
      </c>
      <c r="D19" t="s">
        <v>41</v>
      </c>
      <c r="E19" s="6">
        <v>4</v>
      </c>
      <c r="F19" s="17">
        <f>LOG10(3.37*10^4)</f>
        <v>4.5276299008713385</v>
      </c>
    </row>
    <row r="20" spans="1:6" x14ac:dyDescent="0.25">
      <c r="A20" s="8">
        <v>12628</v>
      </c>
      <c r="B20" s="8" t="s">
        <v>2</v>
      </c>
      <c r="C20" s="8" t="s">
        <v>42</v>
      </c>
      <c r="D20" t="s">
        <v>41</v>
      </c>
      <c r="E20" s="6">
        <v>6</v>
      </c>
      <c r="F20" s="17">
        <f>LOG10(1.83*10^4)</f>
        <v>4.2624510897304297</v>
      </c>
    </row>
    <row r="21" spans="1:6" x14ac:dyDescent="0.25">
      <c r="A21" s="8">
        <v>12628</v>
      </c>
      <c r="B21" s="8" t="s">
        <v>2</v>
      </c>
      <c r="C21" s="8" t="s">
        <v>42</v>
      </c>
      <c r="D21" t="s">
        <v>41</v>
      </c>
      <c r="E21" s="6">
        <v>8</v>
      </c>
      <c r="F21" s="17">
        <f>LOG10(1.85*10^4)</f>
        <v>4.2671717284030137</v>
      </c>
    </row>
    <row r="22" spans="1:6" x14ac:dyDescent="0.25">
      <c r="A22" s="8">
        <v>12628</v>
      </c>
      <c r="B22" s="8" t="s">
        <v>2</v>
      </c>
      <c r="C22" s="8" t="s">
        <v>42</v>
      </c>
      <c r="D22" t="s">
        <v>41</v>
      </c>
      <c r="E22" s="6">
        <v>10</v>
      </c>
      <c r="F22" s="17">
        <f>LOG10(4*10^4)</f>
        <v>4.6020599913279625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6"/>
  <sheetViews>
    <sheetView zoomScale="80" zoomScaleNormal="80" workbookViewId="0"/>
  </sheetViews>
  <sheetFormatPr defaultRowHeight="15" x14ac:dyDescent="0.25"/>
  <cols>
    <col min="1" max="1" width="9.140625" style="8"/>
    <col min="2" max="3" width="9.85546875" style="8" customWidth="1"/>
    <col min="4" max="4" width="9.140625" style="8"/>
    <col min="5" max="5" width="9.140625" style="9"/>
    <col min="6" max="6" width="13.28515625" style="9" bestFit="1" customWidth="1"/>
    <col min="7" max="16384" width="9.140625" style="9"/>
  </cols>
  <sheetData>
    <row r="1" spans="1:37" ht="24" customHeight="1" x14ac:dyDescent="0.25">
      <c r="A1" s="7" t="s">
        <v>6</v>
      </c>
      <c r="B1" s="5" t="s">
        <v>7</v>
      </c>
      <c r="C1" s="5" t="s">
        <v>8</v>
      </c>
      <c r="D1" s="7" t="s">
        <v>9</v>
      </c>
      <c r="E1" s="10"/>
      <c r="F1" s="2" t="s">
        <v>11</v>
      </c>
      <c r="G1" s="2" t="s">
        <v>12</v>
      </c>
      <c r="H1" s="2" t="s">
        <v>19</v>
      </c>
      <c r="I1" s="10"/>
      <c r="K1" s="10"/>
      <c r="L1" s="10"/>
      <c r="M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37" x14ac:dyDescent="0.25">
      <c r="A2" s="6">
        <v>0</v>
      </c>
      <c r="B2" s="6">
        <v>5.3364597338485291</v>
      </c>
      <c r="C2" s="6">
        <f t="shared" ref="C2:C22" si="0" xml:space="preserve"> LOG((10^$G$5 - 10^$G$4) * EXP(-$G$3 *A2 )  + 10^$G$4)</f>
        <v>5.0555314685476338</v>
      </c>
      <c r="D2" s="6">
        <f t="shared" ref="D2:D22" si="1" xml:space="preserve"> (B2 - C2)^2</f>
        <v>7.8920690244970226E-2</v>
      </c>
      <c r="E2" s="10"/>
      <c r="F2" s="10"/>
      <c r="G2" s="10"/>
      <c r="H2" s="10"/>
      <c r="I2" s="10"/>
      <c r="J2" s="10"/>
      <c r="K2" s="10"/>
      <c r="L2" s="4" t="s">
        <v>20</v>
      </c>
      <c r="M2" s="18">
        <v>0.15220581024857091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x14ac:dyDescent="0.25">
      <c r="A3" s="6">
        <v>1</v>
      </c>
      <c r="B3" s="6">
        <v>4.4313637641589869</v>
      </c>
      <c r="C3" s="6">
        <f t="shared" si="0"/>
        <v>4.0843264145403104</v>
      </c>
      <c r="D3" s="6">
        <f t="shared" si="1"/>
        <v>0.1204349220303555</v>
      </c>
      <c r="E3" s="10"/>
      <c r="F3" s="10" t="s">
        <v>13</v>
      </c>
      <c r="G3" s="18">
        <v>2.7080585847588323</v>
      </c>
      <c r="H3" s="18">
        <v>1.0134302407058473</v>
      </c>
      <c r="I3" s="10"/>
      <c r="J3" s="10"/>
      <c r="K3" s="10"/>
      <c r="L3" s="4" t="s">
        <v>23</v>
      </c>
      <c r="M3" s="18">
        <f>SQRT(M2)</f>
        <v>0.3901356305806622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x14ac:dyDescent="0.25">
      <c r="A4" s="6">
        <v>2</v>
      </c>
      <c r="B4" s="6">
        <v>3.8633228601204559</v>
      </c>
      <c r="C4" s="6">
        <f t="shared" si="0"/>
        <v>3.7305075924263953</v>
      </c>
      <c r="D4" s="6">
        <f t="shared" si="1"/>
        <v>1.7639895332644977E-2</v>
      </c>
      <c r="E4" s="10"/>
      <c r="F4" s="10" t="s">
        <v>24</v>
      </c>
      <c r="G4" s="18">
        <v>3.6896007262268911</v>
      </c>
      <c r="H4" s="18">
        <v>0.10539931696992337</v>
      </c>
      <c r="I4" s="10"/>
      <c r="J4" s="10"/>
      <c r="K4" s="10"/>
      <c r="L4" s="4" t="s">
        <v>21</v>
      </c>
      <c r="M4" s="18">
        <v>0.6286963338145497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 x14ac:dyDescent="0.25">
      <c r="A5" s="6">
        <v>4</v>
      </c>
      <c r="B5" s="6">
        <v>4.2227164711475833</v>
      </c>
      <c r="C5" s="6">
        <f t="shared" si="0"/>
        <v>3.6897913271819678</v>
      </c>
      <c r="D5" s="6">
        <f t="shared" si="1"/>
        <v>0.28400920907077204</v>
      </c>
      <c r="E5" s="10"/>
      <c r="F5" s="10" t="s">
        <v>14</v>
      </c>
      <c r="G5" s="18">
        <v>5.0555314685476329</v>
      </c>
      <c r="H5" s="18">
        <v>0.22445700092332915</v>
      </c>
      <c r="I5" s="10"/>
      <c r="J5" s="10"/>
      <c r="K5" s="10"/>
      <c r="L5" s="4" t="s">
        <v>22</v>
      </c>
      <c r="M5" s="18">
        <v>0.5874403709050553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pans="1:37" x14ac:dyDescent="0.25">
      <c r="A6" s="6">
        <v>6</v>
      </c>
      <c r="B6" s="6">
        <v>4.2624510897304297</v>
      </c>
      <c r="C6" s="6">
        <f t="shared" si="0"/>
        <v>3.68960157351313</v>
      </c>
      <c r="D6" s="6">
        <f t="shared" si="1"/>
        <v>0.32815656823039435</v>
      </c>
      <c r="E6" s="10"/>
      <c r="F6" s="10"/>
      <c r="G6" s="10"/>
      <c r="H6" s="10"/>
      <c r="I6" s="10"/>
      <c r="J6" s="10"/>
      <c r="K6" s="10"/>
      <c r="L6" s="10"/>
      <c r="M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x14ac:dyDescent="0.25">
      <c r="A7" s="6">
        <v>8</v>
      </c>
      <c r="B7" s="6">
        <v>3.5440680443502757</v>
      </c>
      <c r="C7" s="6">
        <f t="shared" si="0"/>
        <v>3.6896007299925486</v>
      </c>
      <c r="D7" s="6">
        <f t="shared" si="1"/>
        <v>2.117976259025264E-2</v>
      </c>
      <c r="E7" s="10"/>
      <c r="F7" s="2" t="s">
        <v>25</v>
      </c>
      <c r="G7" s="10"/>
      <c r="H7" s="10"/>
      <c r="I7" s="10"/>
      <c r="J7" s="10"/>
      <c r="K7" s="10"/>
      <c r="L7" s="10"/>
      <c r="M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1:37" x14ac:dyDescent="0.25">
      <c r="A8" s="6">
        <v>10</v>
      </c>
      <c r="B8" s="6">
        <v>4.0916669575956846</v>
      </c>
      <c r="C8" s="6">
        <f t="shared" si="0"/>
        <v>3.6896007262436274</v>
      </c>
      <c r="D8" s="6">
        <f t="shared" si="1"/>
        <v>0.16165725439364589</v>
      </c>
      <c r="E8" s="10"/>
      <c r="F8" s="10" t="s">
        <v>29</v>
      </c>
      <c r="G8" s="10"/>
      <c r="H8" s="10"/>
      <c r="I8" s="10"/>
      <c r="J8" s="10"/>
      <c r="K8" s="10"/>
      <c r="L8" s="10"/>
      <c r="M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1:37" x14ac:dyDescent="0.25">
      <c r="A9" s="6">
        <v>0</v>
      </c>
      <c r="B9" s="6">
        <v>5.4771212547196626</v>
      </c>
      <c r="C9" s="6">
        <f t="shared" si="0"/>
        <v>5.0555314685476338</v>
      </c>
      <c r="D9" s="6">
        <f t="shared" si="1"/>
        <v>0.17773794780457697</v>
      </c>
      <c r="E9" s="10"/>
      <c r="F9" s="2" t="s">
        <v>28</v>
      </c>
      <c r="G9" s="10"/>
      <c r="H9" s="10"/>
      <c r="I9" s="10"/>
      <c r="J9" s="10"/>
      <c r="K9" s="10"/>
      <c r="L9" s="10"/>
      <c r="M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1:37" x14ac:dyDescent="0.25">
      <c r="A10" s="6">
        <v>1</v>
      </c>
      <c r="B10" s="6">
        <v>3.9867717342662448</v>
      </c>
      <c r="C10" s="6">
        <f t="shared" si="0"/>
        <v>4.0843264145403104</v>
      </c>
      <c r="D10" s="6">
        <f t="shared" si="1"/>
        <v>9.5169156433751768E-3</v>
      </c>
      <c r="E10" s="10"/>
      <c r="F10" s="10" t="s">
        <v>30</v>
      </c>
      <c r="G10" s="10"/>
      <c r="H10" s="10"/>
      <c r="I10" s="10"/>
      <c r="J10" s="10"/>
      <c r="K10" s="10"/>
      <c r="L10" s="10"/>
      <c r="M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spans="1:37" x14ac:dyDescent="0.25">
      <c r="A11" s="6">
        <v>2</v>
      </c>
      <c r="B11" s="6">
        <v>3.255272505103306</v>
      </c>
      <c r="C11" s="6">
        <f t="shared" si="0"/>
        <v>3.7305075924263953</v>
      </c>
      <c r="D11" s="6">
        <f t="shared" si="1"/>
        <v>0.22584838822298428</v>
      </c>
      <c r="E11" s="10"/>
      <c r="F11" s="2" t="s">
        <v>26</v>
      </c>
      <c r="G11" s="10"/>
      <c r="H11" s="10"/>
      <c r="I11" s="10"/>
      <c r="J11" s="10"/>
      <c r="K11" s="10"/>
      <c r="L11" s="10"/>
      <c r="M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x14ac:dyDescent="0.25">
      <c r="A12" s="6">
        <v>4</v>
      </c>
      <c r="B12" s="6">
        <v>3.2787536009528289</v>
      </c>
      <c r="C12" s="6">
        <f t="shared" si="0"/>
        <v>3.6897913271819678</v>
      </c>
      <c r="D12" s="6">
        <f t="shared" si="1"/>
        <v>0.16895201238362056</v>
      </c>
      <c r="E12" s="10"/>
      <c r="F12" s="22" t="s">
        <v>27</v>
      </c>
      <c r="G12" s="23"/>
      <c r="H12" s="23"/>
      <c r="I12" s="23"/>
      <c r="J12" s="23"/>
      <c r="K12" s="23"/>
      <c r="L12" s="23"/>
      <c r="M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x14ac:dyDescent="0.25">
      <c r="A13" s="6">
        <v>6</v>
      </c>
      <c r="B13" s="6">
        <v>3.3979400086720375</v>
      </c>
      <c r="C13" s="6">
        <f t="shared" si="0"/>
        <v>3.68960157351313</v>
      </c>
      <c r="D13" s="6">
        <f t="shared" si="1"/>
        <v>8.5066468405554818E-2</v>
      </c>
      <c r="E13" s="10"/>
      <c r="F13" s="23"/>
      <c r="G13" s="23"/>
      <c r="H13" s="23"/>
      <c r="I13" s="23"/>
      <c r="J13" s="23"/>
      <c r="K13" s="23"/>
      <c r="L13" s="23"/>
      <c r="M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37" x14ac:dyDescent="0.25">
      <c r="A14" s="6">
        <v>8</v>
      </c>
      <c r="B14" s="6">
        <v>3.4232458739368079</v>
      </c>
      <c r="C14" s="6">
        <f t="shared" si="0"/>
        <v>3.6896007299925486</v>
      </c>
      <c r="D14" s="6">
        <f t="shared" si="1"/>
        <v>7.0944909344474352E-2</v>
      </c>
      <c r="E14" s="10"/>
      <c r="F14" s="23"/>
      <c r="G14" s="23"/>
      <c r="H14" s="23"/>
      <c r="I14" s="23"/>
      <c r="J14" s="23"/>
      <c r="K14" s="23"/>
      <c r="L14" s="23"/>
      <c r="M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x14ac:dyDescent="0.25">
      <c r="A15" s="6">
        <v>10</v>
      </c>
      <c r="B15" s="6">
        <v>3.6857417386022635</v>
      </c>
      <c r="C15" s="6">
        <f t="shared" si="0"/>
        <v>3.6896007262436274</v>
      </c>
      <c r="D15" s="6">
        <f t="shared" si="1"/>
        <v>1.4891785616199643E-5</v>
      </c>
      <c r="E15" s="10"/>
      <c r="F15" s="10"/>
      <c r="G15" s="10"/>
      <c r="H15" s="10"/>
      <c r="I15" s="10"/>
      <c r="J15" s="10"/>
      <c r="K15" s="10"/>
      <c r="L15" s="10"/>
      <c r="M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x14ac:dyDescent="0.25">
      <c r="A16" s="6">
        <v>0</v>
      </c>
      <c r="B16" s="6">
        <v>4.3159703454569174</v>
      </c>
      <c r="C16" s="6">
        <f t="shared" si="0"/>
        <v>5.0555314685476338</v>
      </c>
      <c r="D16" s="6">
        <f t="shared" si="1"/>
        <v>0.54695065478720184</v>
      </c>
      <c r="E16" s="10"/>
      <c r="F16" s="10"/>
      <c r="G16" s="10"/>
      <c r="H16" s="10"/>
      <c r="I16" s="10"/>
      <c r="J16" s="10"/>
      <c r="K16" s="10"/>
      <c r="L16" s="10"/>
      <c r="M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x14ac:dyDescent="0.25">
      <c r="A17" s="6">
        <v>1</v>
      </c>
      <c r="B17" s="6">
        <v>3.9542425094393248</v>
      </c>
      <c r="C17" s="6">
        <f t="shared" si="0"/>
        <v>4.0843264145403104</v>
      </c>
      <c r="D17" s="6">
        <f t="shared" si="1"/>
        <v>1.6921822366322243E-2</v>
      </c>
      <c r="E17" s="10"/>
      <c r="F17" s="10"/>
      <c r="G17" s="10"/>
      <c r="H17" s="10"/>
      <c r="I17" s="10"/>
      <c r="J17" s="10"/>
      <c r="K17" s="10"/>
      <c r="L17" s="10"/>
      <c r="M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</row>
    <row r="18" spans="1:37" x14ac:dyDescent="0.25">
      <c r="A18" s="6">
        <v>2</v>
      </c>
      <c r="B18" s="6">
        <v>3.6720978579357175</v>
      </c>
      <c r="C18" s="6">
        <f t="shared" si="0"/>
        <v>3.7305075924263953</v>
      </c>
      <c r="D18" s="6">
        <f t="shared" si="1"/>
        <v>3.4116970832714717E-3</v>
      </c>
      <c r="E18" s="10"/>
      <c r="F18" s="10"/>
      <c r="G18" s="10"/>
      <c r="H18" s="10"/>
      <c r="I18" s="10"/>
      <c r="J18" s="10"/>
      <c r="K18" s="10"/>
      <c r="L18" s="10"/>
      <c r="M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x14ac:dyDescent="0.25">
      <c r="A19" s="6">
        <v>4</v>
      </c>
      <c r="B19" s="6">
        <v>4.012837224705172</v>
      </c>
      <c r="C19" s="6">
        <f t="shared" si="0"/>
        <v>3.6897913271819678</v>
      </c>
      <c r="D19" s="6">
        <f t="shared" si="1"/>
        <v>0.10435865190657256</v>
      </c>
      <c r="E19" s="10"/>
      <c r="F19" s="10"/>
      <c r="G19" s="10"/>
      <c r="H19" s="10"/>
      <c r="I19" s="10"/>
      <c r="J19" s="10"/>
      <c r="K19" s="10"/>
      <c r="L19" s="10"/>
      <c r="M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1:37" x14ac:dyDescent="0.25">
      <c r="A20" s="6">
        <v>6</v>
      </c>
      <c r="B20" s="6">
        <v>3.1553360374650619</v>
      </c>
      <c r="C20" s="6">
        <f t="shared" si="0"/>
        <v>3.68960157351313</v>
      </c>
      <c r="D20" s="6">
        <f t="shared" si="1"/>
        <v>0.28543966300872958</v>
      </c>
      <c r="E20" s="10"/>
      <c r="F20" s="10"/>
      <c r="G20" s="10"/>
      <c r="H20" s="10"/>
      <c r="I20" s="10"/>
      <c r="J20" s="10"/>
      <c r="K20" s="10"/>
      <c r="L20" s="10"/>
      <c r="M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</row>
    <row r="21" spans="1:37" x14ac:dyDescent="0.25">
      <c r="A21" s="6">
        <v>8</v>
      </c>
      <c r="B21" s="6">
        <v>3.8662873390841948</v>
      </c>
      <c r="C21" s="6">
        <f t="shared" si="0"/>
        <v>3.6896007299925486</v>
      </c>
      <c r="D21" s="6">
        <f t="shared" si="1"/>
        <v>3.121815783230417E-2</v>
      </c>
      <c r="E21" s="10"/>
      <c r="F21" s="10"/>
      <c r="G21" s="10"/>
      <c r="H21" s="10"/>
      <c r="I21" s="10"/>
      <c r="J21" s="10"/>
      <c r="K21" s="10"/>
      <c r="L21" s="10"/>
      <c r="M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</row>
    <row r="22" spans="1:37" x14ac:dyDescent="0.25">
      <c r="A22" s="6">
        <v>10</v>
      </c>
      <c r="B22" s="6">
        <v>3.6532125137753435</v>
      </c>
      <c r="C22" s="6">
        <f t="shared" si="0"/>
        <v>3.6896007262436274</v>
      </c>
      <c r="D22" s="6">
        <f t="shared" si="1"/>
        <v>1.324102006636975E-3</v>
      </c>
      <c r="E22" s="10"/>
      <c r="F22" s="10"/>
      <c r="G22" s="10"/>
      <c r="H22" s="10"/>
      <c r="I22" s="10"/>
      <c r="J22" s="10"/>
      <c r="K22" s="10"/>
      <c r="L22" s="10"/>
      <c r="M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x14ac:dyDescent="0.25">
      <c r="A23" s="7" t="s">
        <v>10</v>
      </c>
      <c r="B23" s="6"/>
      <c r="C23" s="6"/>
      <c r="D23" s="6">
        <f>SUM(D2:D22)</f>
        <v>2.7397045844742762</v>
      </c>
      <c r="E23" s="10"/>
      <c r="F23" s="10"/>
      <c r="G23" s="10"/>
      <c r="H23" s="10"/>
      <c r="I23" s="10"/>
      <c r="J23" s="10"/>
      <c r="K23" s="10"/>
      <c r="L23" s="10"/>
      <c r="M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</row>
    <row r="24" spans="1:37" x14ac:dyDescent="0.25">
      <c r="A24" s="6"/>
      <c r="B24" s="6"/>
      <c r="C24" s="6"/>
      <c r="D24" s="6"/>
      <c r="E24" s="10"/>
      <c r="F24" s="10"/>
      <c r="G24" s="10"/>
      <c r="H24" s="10"/>
      <c r="I24" s="10"/>
      <c r="J24" s="10"/>
      <c r="K24" s="10"/>
      <c r="L24" s="10"/>
      <c r="M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</row>
    <row r="25" spans="1:37" x14ac:dyDescent="0.25">
      <c r="A25" s="6"/>
      <c r="B25" s="6"/>
      <c r="C25" s="6"/>
      <c r="D25" s="6"/>
      <c r="E25" s="10"/>
      <c r="F25" s="10"/>
      <c r="G25" s="10"/>
      <c r="H25" s="10"/>
      <c r="I25" s="10"/>
      <c r="J25" s="10"/>
      <c r="K25" s="10"/>
      <c r="L25" s="10"/>
      <c r="M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</row>
    <row r="26" spans="1:37" x14ac:dyDescent="0.25">
      <c r="A26" s="6">
        <v>0</v>
      </c>
      <c r="B26" s="6"/>
      <c r="C26" s="6">
        <f xml:space="preserve"> LOG((10^$G$5 - 10^$G$4) * EXP(-$G$3 *A26 )  + 10^$G$4)</f>
        <v>5.0555314685476338</v>
      </c>
      <c r="D26" s="6"/>
      <c r="E26" s="10"/>
      <c r="F26" s="10"/>
      <c r="G26" s="10"/>
      <c r="H26" s="10"/>
      <c r="I26" s="10"/>
      <c r="J26" s="10"/>
      <c r="K26" s="10"/>
      <c r="L26" s="10"/>
      <c r="M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</row>
    <row r="27" spans="1:37" x14ac:dyDescent="0.25">
      <c r="A27" s="6">
        <v>0.1</v>
      </c>
      <c r="B27" s="6"/>
      <c r="C27" s="6">
        <f t="shared" ref="C27:C90" si="2" xml:space="preserve"> LOG((10^$G$5 - 10^$G$4) * EXP(-$G$3 *A27 )  + 10^$G$4)</f>
        <v>4.9436996200601842</v>
      </c>
      <c r="D27" s="6"/>
      <c r="E27" s="10"/>
      <c r="F27" s="10"/>
      <c r="G27" s="10"/>
      <c r="H27" s="10"/>
      <c r="I27" s="10"/>
      <c r="J27" s="10"/>
      <c r="K27" s="10"/>
      <c r="L27" s="10"/>
      <c r="M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</row>
    <row r="28" spans="1:37" x14ac:dyDescent="0.25">
      <c r="A28" s="6">
        <v>0.2</v>
      </c>
      <c r="B28" s="6"/>
      <c r="C28" s="6">
        <f t="shared" si="2"/>
        <v>4.8335501351131018</v>
      </c>
      <c r="D28" s="6"/>
      <c r="E28" s="10"/>
      <c r="F28" s="10"/>
      <c r="G28" s="10"/>
      <c r="H28" s="10"/>
      <c r="I28" s="10"/>
      <c r="J28" s="10"/>
      <c r="K28" s="10"/>
      <c r="L28" s="10"/>
      <c r="M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</row>
    <row r="29" spans="1:37" x14ac:dyDescent="0.25">
      <c r="A29" s="6">
        <v>0.30000000000000004</v>
      </c>
      <c r="B29" s="6"/>
      <c r="C29" s="6">
        <f t="shared" si="2"/>
        <v>4.7255306782608217</v>
      </c>
      <c r="D29" s="6"/>
      <c r="E29" s="10"/>
      <c r="F29" s="10"/>
      <c r="G29" s="10"/>
      <c r="H29" s="10"/>
      <c r="I29" s="10"/>
      <c r="J29" s="10"/>
      <c r="K29" s="10"/>
      <c r="L29" s="10"/>
      <c r="M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</row>
    <row r="30" spans="1:37" x14ac:dyDescent="0.25">
      <c r="A30" s="6">
        <v>0.4</v>
      </c>
      <c r="B30" s="6"/>
      <c r="C30" s="6">
        <f t="shared" si="2"/>
        <v>4.6201814252650815</v>
      </c>
      <c r="D30" s="6"/>
      <c r="E30" s="10"/>
      <c r="F30" s="10"/>
      <c r="G30" s="10"/>
      <c r="H30" s="10"/>
      <c r="I30" s="10"/>
      <c r="J30" s="10"/>
      <c r="K30" s="10"/>
      <c r="L30" s="10"/>
      <c r="M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</row>
    <row r="31" spans="1:37" x14ac:dyDescent="0.25">
      <c r="A31" s="6">
        <v>0.5</v>
      </c>
      <c r="B31" s="6"/>
      <c r="C31" s="6">
        <f t="shared" si="2"/>
        <v>4.5181382657211095</v>
      </c>
      <c r="D31" s="6"/>
      <c r="E31" s="10"/>
      <c r="F31" s="10"/>
      <c r="G31" s="10"/>
      <c r="H31" s="10"/>
      <c r="I31" s="10"/>
      <c r="J31" s="10"/>
      <c r="K31" s="10"/>
      <c r="L31" s="10"/>
      <c r="M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x14ac:dyDescent="0.25">
      <c r="A32" s="6">
        <v>0.6</v>
      </c>
      <c r="B32" s="6"/>
      <c r="C32" s="6">
        <f t="shared" si="2"/>
        <v>4.4201262557814056</v>
      </c>
      <c r="D32" s="6"/>
      <c r="E32" s="10"/>
      <c r="F32" s="10"/>
      <c r="G32" s="10"/>
      <c r="H32" s="10"/>
      <c r="I32" s="10"/>
      <c r="J32" s="10"/>
      <c r="K32" s="10"/>
      <c r="L32" s="10"/>
      <c r="M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</row>
    <row r="33" spans="1:37" x14ac:dyDescent="0.25">
      <c r="A33" s="6">
        <v>0.7</v>
      </c>
      <c r="B33" s="6"/>
      <c r="C33" s="6">
        <f t="shared" si="2"/>
        <v>4.3269386771929792</v>
      </c>
      <c r="D33" s="6"/>
      <c r="E33" s="10"/>
      <c r="F33" s="10"/>
      <c r="G33" s="10"/>
      <c r="H33" s="10"/>
      <c r="I33" s="10"/>
      <c r="J33" s="10"/>
      <c r="K33" s="10"/>
      <c r="L33" s="10"/>
      <c r="M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</row>
    <row r="34" spans="1:37" x14ac:dyDescent="0.25">
      <c r="A34" s="6">
        <v>0.79999999999999993</v>
      </c>
      <c r="B34" s="6"/>
      <c r="C34" s="6">
        <f t="shared" si="2"/>
        <v>4.239397864780968</v>
      </c>
      <c r="D34" s="6"/>
      <c r="E34" s="10"/>
      <c r="F34" s="10"/>
      <c r="G34" s="10"/>
      <c r="H34" s="10"/>
      <c r="I34" s="10"/>
      <c r="J34" s="10"/>
      <c r="K34" s="10"/>
      <c r="L34" s="10"/>
      <c r="M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</row>
    <row r="35" spans="1:37" x14ac:dyDescent="0.25">
      <c r="A35" s="6">
        <v>0.89999999999999991</v>
      </c>
      <c r="B35" s="6"/>
      <c r="C35" s="6">
        <f t="shared" si="2"/>
        <v>4.1582968836204826</v>
      </c>
      <c r="D35" s="6"/>
      <c r="E35" s="10"/>
      <c r="F35" s="10"/>
      <c r="G35" s="10"/>
      <c r="H35" s="10"/>
      <c r="I35" s="10"/>
      <c r="J35" s="10"/>
      <c r="K35" s="10"/>
      <c r="L35" s="10"/>
      <c r="M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</row>
    <row r="36" spans="1:37" x14ac:dyDescent="0.25">
      <c r="A36" s="6">
        <v>1.042</v>
      </c>
      <c r="B36" s="6"/>
      <c r="C36" s="6">
        <f t="shared" si="2"/>
        <v>4.0555160770477796</v>
      </c>
      <c r="D36" s="6"/>
      <c r="E36" s="10"/>
      <c r="F36" s="10"/>
      <c r="G36" s="10"/>
      <c r="H36" s="10"/>
      <c r="I36" s="10"/>
      <c r="J36" s="10"/>
      <c r="K36" s="10"/>
      <c r="L36" s="10"/>
      <c r="M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</row>
    <row r="37" spans="1:37" x14ac:dyDescent="0.25">
      <c r="A37" s="6">
        <v>1.0999999999999999</v>
      </c>
      <c r="B37" s="6"/>
      <c r="C37" s="6">
        <f t="shared" si="2"/>
        <v>4.0179977477684377</v>
      </c>
      <c r="D37" s="6"/>
      <c r="E37" s="10"/>
      <c r="F37" s="10"/>
      <c r="G37" s="10"/>
      <c r="H37" s="10"/>
      <c r="I37" s="10"/>
      <c r="J37" s="10"/>
      <c r="K37" s="10"/>
      <c r="L37" s="10"/>
      <c r="M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x14ac:dyDescent="0.25">
      <c r="A38" s="6">
        <v>1.2</v>
      </c>
      <c r="B38" s="6"/>
      <c r="C38" s="6">
        <f t="shared" si="2"/>
        <v>3.9595778656870526</v>
      </c>
      <c r="D38" s="6"/>
      <c r="E38" s="10"/>
      <c r="F38" s="10"/>
      <c r="G38" s="10"/>
      <c r="H38" s="10"/>
      <c r="I38" s="10"/>
      <c r="J38" s="10"/>
      <c r="K38" s="10"/>
      <c r="L38" s="10"/>
      <c r="M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25">
      <c r="A39" s="6">
        <v>1.3</v>
      </c>
      <c r="B39" s="6"/>
      <c r="C39" s="6">
        <f t="shared" si="2"/>
        <v>3.9090528900288128</v>
      </c>
      <c r="D39" s="6"/>
      <c r="E39" s="10"/>
      <c r="F39" s="10"/>
      <c r="G39" s="10"/>
      <c r="H39" s="10"/>
      <c r="I39" s="10"/>
      <c r="J39" s="10"/>
      <c r="K39" s="10"/>
      <c r="L39" s="10"/>
      <c r="M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</row>
    <row r="40" spans="1:37" x14ac:dyDescent="0.25">
      <c r="A40" s="6">
        <v>1.4000000000000001</v>
      </c>
      <c r="B40" s="6"/>
      <c r="C40" s="6">
        <f t="shared" si="2"/>
        <v>3.8661300266646448</v>
      </c>
      <c r="D40" s="6"/>
      <c r="E40" s="10"/>
      <c r="F40" s="10"/>
      <c r="G40" s="10"/>
      <c r="H40" s="10"/>
      <c r="I40" s="10"/>
      <c r="J40" s="10"/>
      <c r="K40" s="10"/>
      <c r="L40" s="10"/>
      <c r="M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</row>
    <row r="41" spans="1:37" x14ac:dyDescent="0.25">
      <c r="A41" s="6">
        <v>1.5000000000000002</v>
      </c>
      <c r="B41" s="6"/>
      <c r="C41" s="6">
        <f t="shared" si="2"/>
        <v>3.8302774524846965</v>
      </c>
      <c r="D41" s="6"/>
      <c r="E41" s="10"/>
      <c r="F41" s="10"/>
      <c r="G41" s="10"/>
      <c r="H41" s="10"/>
      <c r="I41" s="10"/>
      <c r="J41" s="10"/>
      <c r="K41" s="10"/>
      <c r="L41" s="10"/>
      <c r="M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</row>
    <row r="42" spans="1:37" x14ac:dyDescent="0.25">
      <c r="A42" s="6">
        <v>1.6000000000000003</v>
      </c>
      <c r="B42" s="6"/>
      <c r="C42" s="6">
        <f t="shared" si="2"/>
        <v>3.8007911584815659</v>
      </c>
      <c r="D42" s="6"/>
      <c r="E42" s="10"/>
      <c r="F42" s="10"/>
      <c r="G42" s="10"/>
      <c r="H42" s="10"/>
      <c r="I42" s="10"/>
      <c r="J42" s="10"/>
      <c r="K42" s="10"/>
      <c r="L42" s="10"/>
      <c r="M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x14ac:dyDescent="0.25">
      <c r="A43" s="6">
        <v>1.7000000000000004</v>
      </c>
      <c r="B43" s="6"/>
      <c r="C43" s="6">
        <f t="shared" si="2"/>
        <v>3.7768722234053627</v>
      </c>
      <c r="D43" s="6"/>
      <c r="E43" s="10"/>
      <c r="F43" s="10"/>
      <c r="G43" s="10"/>
      <c r="H43" s="10"/>
      <c r="I43" s="10"/>
      <c r="J43" s="10"/>
      <c r="K43" s="10"/>
      <c r="L43" s="10"/>
      <c r="M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</row>
    <row r="44" spans="1:37" x14ac:dyDescent="0.25">
      <c r="A44" s="6">
        <v>1.8000000000000005</v>
      </c>
      <c r="B44" s="6"/>
      <c r="C44" s="6">
        <f t="shared" si="2"/>
        <v>3.757698868381175</v>
      </c>
      <c r="D44" s="6"/>
      <c r="E44" s="10"/>
      <c r="F44" s="10"/>
      <c r="G44" s="10"/>
      <c r="H44" s="10"/>
      <c r="I44" s="10"/>
      <c r="J44" s="10"/>
      <c r="K44" s="10"/>
      <c r="L44" s="10"/>
      <c r="M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</row>
    <row r="45" spans="1:37" x14ac:dyDescent="0.25">
      <c r="A45" s="6">
        <v>1.9000000000000006</v>
      </c>
      <c r="B45" s="6"/>
      <c r="C45" s="6">
        <f t="shared" si="2"/>
        <v>3.7424830160635261</v>
      </c>
      <c r="D45" s="6"/>
      <c r="E45" s="10"/>
      <c r="F45" s="10"/>
      <c r="G45" s="10"/>
      <c r="H45" s="10"/>
      <c r="I45" s="10"/>
      <c r="J45" s="10"/>
      <c r="K45" s="10"/>
      <c r="L45" s="10"/>
      <c r="M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</row>
    <row r="46" spans="1:37" x14ac:dyDescent="0.25">
      <c r="A46" s="6">
        <v>2.0000000000000004</v>
      </c>
      <c r="B46" s="6"/>
      <c r="C46" s="6">
        <f t="shared" si="2"/>
        <v>3.7305075924263953</v>
      </c>
      <c r="D46" s="6"/>
      <c r="E46" s="10"/>
      <c r="F46" s="10"/>
      <c r="G46" s="10"/>
      <c r="H46" s="10"/>
      <c r="I46" s="10"/>
      <c r="J46" s="10"/>
      <c r="K46" s="10"/>
      <c r="L46" s="10"/>
      <c r="M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</row>
    <row r="47" spans="1:37" x14ac:dyDescent="0.25">
      <c r="A47" s="6">
        <v>2.1000000000000005</v>
      </c>
      <c r="B47" s="6"/>
      <c r="C47" s="6">
        <f t="shared" si="2"/>
        <v>3.721145879608458</v>
      </c>
      <c r="D47" s="6"/>
      <c r="E47" s="10"/>
      <c r="F47" s="10"/>
      <c r="G47" s="10"/>
      <c r="H47" s="10"/>
      <c r="I47" s="10"/>
      <c r="J47" s="10"/>
      <c r="K47" s="10"/>
      <c r="L47" s="10"/>
      <c r="M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</row>
    <row r="48" spans="1:37" x14ac:dyDescent="0.25">
      <c r="A48" s="6">
        <v>2.2000000000000006</v>
      </c>
      <c r="B48" s="6"/>
      <c r="C48" s="6">
        <f t="shared" si="2"/>
        <v>3.7138669170188696</v>
      </c>
      <c r="D48" s="6"/>
      <c r="E48" s="10"/>
      <c r="F48" s="10"/>
      <c r="G48" s="10"/>
      <c r="H48" s="10"/>
      <c r="I48" s="10"/>
      <c r="J48" s="10"/>
      <c r="K48" s="10"/>
      <c r="L48" s="10"/>
      <c r="M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</row>
    <row r="49" spans="1:37" x14ac:dyDescent="0.25">
      <c r="A49" s="6">
        <v>2.3000000000000007</v>
      </c>
      <c r="B49" s="6"/>
      <c r="C49" s="6">
        <f t="shared" si="2"/>
        <v>3.7082315892776796</v>
      </c>
      <c r="D49" s="6"/>
      <c r="E49" s="10"/>
      <c r="F49" s="10"/>
      <c r="G49" s="10"/>
      <c r="H49" s="10"/>
      <c r="I49" s="10"/>
      <c r="J49" s="10"/>
      <c r="K49" s="10"/>
      <c r="L49" s="10"/>
      <c r="M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</row>
    <row r="50" spans="1:37" x14ac:dyDescent="0.25">
      <c r="A50" s="6">
        <v>2.4000000000000008</v>
      </c>
      <c r="B50" s="6"/>
      <c r="C50" s="6">
        <f t="shared" si="2"/>
        <v>3.7038834579633435</v>
      </c>
      <c r="D50" s="6"/>
      <c r="E50" s="10"/>
      <c r="F50" s="10"/>
      <c r="G50" s="10"/>
      <c r="H50" s="10"/>
      <c r="I50" s="10"/>
      <c r="J50" s="10"/>
      <c r="K50" s="10"/>
      <c r="L50" s="10"/>
      <c r="M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 x14ac:dyDescent="0.25">
      <c r="A51" s="6">
        <v>2.5000000000000009</v>
      </c>
      <c r="B51" s="6"/>
      <c r="C51" s="6">
        <f t="shared" si="2"/>
        <v>3.7005373417149294</v>
      </c>
      <c r="D51" s="6"/>
      <c r="E51" s="10"/>
      <c r="F51" s="10"/>
      <c r="G51" s="10"/>
      <c r="H51" s="10"/>
      <c r="I51" s="10"/>
      <c r="J51" s="10"/>
      <c r="K51" s="10"/>
      <c r="L51" s="10"/>
      <c r="M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25">
      <c r="A52" s="6">
        <v>2.600000000000001</v>
      </c>
      <c r="B52" s="6"/>
      <c r="C52" s="6">
        <f t="shared" si="2"/>
        <v>3.6979675974484882</v>
      </c>
      <c r="D52" s="6"/>
      <c r="E52" s="10"/>
      <c r="F52" s="10"/>
      <c r="G52" s="10"/>
      <c r="H52" s="10"/>
      <c r="I52" s="10"/>
      <c r="J52" s="10"/>
      <c r="K52" s="10"/>
      <c r="L52" s="10"/>
      <c r="M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</row>
    <row r="53" spans="1:37" x14ac:dyDescent="0.25">
      <c r="A53" s="6">
        <v>2.7000000000000011</v>
      </c>
      <c r="B53" s="6"/>
      <c r="C53" s="6">
        <f t="shared" si="2"/>
        <v>3.6959972140456467</v>
      </c>
      <c r="D53" s="6"/>
      <c r="E53" s="10"/>
      <c r="F53" s="10"/>
      <c r="G53" s="10"/>
      <c r="H53" s="10"/>
      <c r="I53" s="10"/>
      <c r="J53" s="10"/>
      <c r="K53" s="10"/>
      <c r="L53" s="10"/>
      <c r="M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</row>
    <row r="54" spans="1:37" x14ac:dyDescent="0.25">
      <c r="A54" s="6">
        <v>2.8000000000000012</v>
      </c>
      <c r="B54" s="6"/>
      <c r="C54" s="6">
        <f t="shared" si="2"/>
        <v>3.6944882423897032</v>
      </c>
      <c r="D54" s="6"/>
      <c r="E54" s="10"/>
      <c r="F54" s="10"/>
      <c r="G54" s="10"/>
      <c r="H54" s="10"/>
      <c r="I54" s="10"/>
      <c r="J54" s="10"/>
      <c r="K54" s="10"/>
      <c r="L54" s="10"/>
      <c r="M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1:37" x14ac:dyDescent="0.25">
      <c r="A55" s="6">
        <v>2.9000000000000012</v>
      </c>
      <c r="B55" s="6"/>
      <c r="C55" s="6">
        <f t="shared" si="2"/>
        <v>3.6933337171512939</v>
      </c>
      <c r="D55" s="6"/>
      <c r="E55" s="10"/>
      <c r="F55" s="10"/>
      <c r="G55" s="10"/>
      <c r="H55" s="10"/>
      <c r="I55" s="10"/>
      <c r="J55" s="10"/>
      <c r="K55" s="10"/>
      <c r="L55" s="10"/>
      <c r="M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x14ac:dyDescent="0.25">
      <c r="A56" s="6">
        <v>3.0000000000000013</v>
      </c>
      <c r="B56" s="6"/>
      <c r="C56" s="6">
        <f t="shared" si="2"/>
        <v>3.6924510182084993</v>
      </c>
      <c r="D56" s="6"/>
      <c r="E56" s="10"/>
      <c r="F56" s="10"/>
      <c r="G56" s="10"/>
      <c r="H56" s="10"/>
      <c r="I56" s="10"/>
      <c r="J56" s="10"/>
      <c r="K56" s="10"/>
      <c r="L56" s="10"/>
      <c r="M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</row>
    <row r="57" spans="1:37" x14ac:dyDescent="0.25">
      <c r="A57" s="6">
        <v>3.1000000000000014</v>
      </c>
      <c r="B57" s="6"/>
      <c r="C57" s="6">
        <f t="shared" si="2"/>
        <v>3.69177651853024</v>
      </c>
      <c r="D57" s="6"/>
      <c r="E57" s="10"/>
      <c r="F57" s="10"/>
      <c r="G57" s="10"/>
      <c r="H57" s="10"/>
      <c r="I57" s="10"/>
      <c r="J57" s="10"/>
      <c r="K57" s="10"/>
      <c r="L57" s="10"/>
      <c r="M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</row>
    <row r="58" spans="1:37" x14ac:dyDescent="0.25">
      <c r="A58" s="6">
        <v>3.2000000000000015</v>
      </c>
      <c r="B58" s="6"/>
      <c r="C58" s="6">
        <f t="shared" si="2"/>
        <v>3.6912613288919989</v>
      </c>
      <c r="D58" s="6"/>
      <c r="E58" s="10"/>
      <c r="F58" s="10"/>
      <c r="G58" s="10"/>
      <c r="H58" s="10"/>
      <c r="I58" s="10"/>
      <c r="J58" s="10"/>
      <c r="K58" s="10"/>
      <c r="L58" s="10"/>
      <c r="M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</row>
    <row r="59" spans="1:37" x14ac:dyDescent="0.25">
      <c r="A59" s="6">
        <v>3.3000000000000016</v>
      </c>
      <c r="B59" s="6"/>
      <c r="C59" s="6">
        <f t="shared" si="2"/>
        <v>3.6908679492099616</v>
      </c>
      <c r="D59" s="6"/>
      <c r="E59" s="10"/>
      <c r="F59" s="10"/>
      <c r="G59" s="10"/>
      <c r="H59" s="10"/>
      <c r="I59" s="10"/>
      <c r="J59" s="10"/>
      <c r="K59" s="10"/>
      <c r="L59" s="10"/>
      <c r="M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</row>
    <row r="60" spans="1:37" x14ac:dyDescent="0.25">
      <c r="A60" s="6">
        <v>3.4000000000000017</v>
      </c>
      <c r="B60" s="6"/>
      <c r="C60" s="6">
        <f t="shared" si="2"/>
        <v>3.6905676533955845</v>
      </c>
      <c r="D60" s="6"/>
      <c r="E60" s="10"/>
      <c r="F60" s="10"/>
      <c r="G60" s="10"/>
      <c r="H60" s="10"/>
      <c r="I60" s="10"/>
      <c r="J60" s="10"/>
      <c r="K60" s="10"/>
      <c r="L60" s="10"/>
      <c r="M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</row>
    <row r="61" spans="1:37" x14ac:dyDescent="0.25">
      <c r="A61" s="6">
        <v>3.5000000000000018</v>
      </c>
      <c r="B61" s="6"/>
      <c r="C61" s="6">
        <f t="shared" si="2"/>
        <v>3.6903384587129127</v>
      </c>
      <c r="D61" s="6"/>
      <c r="E61" s="10"/>
      <c r="F61" s="10"/>
      <c r="G61" s="10"/>
      <c r="H61" s="10"/>
      <c r="I61" s="10"/>
      <c r="J61" s="10"/>
      <c r="K61" s="10"/>
      <c r="L61" s="10"/>
      <c r="M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</row>
    <row r="62" spans="1:37" x14ac:dyDescent="0.25">
      <c r="A62" s="6">
        <v>3.6000000000000019</v>
      </c>
      <c r="B62" s="6"/>
      <c r="C62" s="6">
        <f t="shared" si="2"/>
        <v>3.69016355577737</v>
      </c>
      <c r="D62" s="6"/>
      <c r="E62" s="10"/>
      <c r="F62" s="10"/>
      <c r="G62" s="10"/>
      <c r="H62" s="10"/>
      <c r="I62" s="10"/>
      <c r="J62" s="10"/>
      <c r="K62" s="10"/>
      <c r="L62" s="10"/>
      <c r="M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x14ac:dyDescent="0.25">
      <c r="A63" s="6">
        <v>3.700000000000002</v>
      </c>
      <c r="B63" s="6"/>
      <c r="C63" s="6">
        <f t="shared" si="2"/>
        <v>3.690030098644657</v>
      </c>
      <c r="D63" s="6"/>
      <c r="E63" s="10"/>
      <c r="F63" s="10"/>
      <c r="G63" s="10"/>
      <c r="H63" s="10"/>
      <c r="I63" s="10"/>
      <c r="J63" s="10"/>
      <c r="K63" s="10"/>
      <c r="L63" s="10"/>
      <c r="M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</row>
    <row r="64" spans="1:37" x14ac:dyDescent="0.25">
      <c r="A64" s="6">
        <v>3.800000000000002</v>
      </c>
      <c r="B64" s="6"/>
      <c r="C64" s="6">
        <f t="shared" si="2"/>
        <v>3.6899282746944682</v>
      </c>
      <c r="D64" s="6"/>
      <c r="E64" s="10"/>
      <c r="F64" s="10"/>
      <c r="G64" s="10"/>
      <c r="H64" s="10"/>
      <c r="I64" s="10"/>
      <c r="J64" s="10"/>
      <c r="K64" s="10"/>
      <c r="L64" s="10"/>
      <c r="M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25">
      <c r="A65" s="6">
        <v>3.9000000000000021</v>
      </c>
      <c r="B65" s="6"/>
      <c r="C65" s="6">
        <f t="shared" si="2"/>
        <v>3.6898505909402659</v>
      </c>
      <c r="D65" s="6"/>
      <c r="E65" s="10"/>
      <c r="F65" s="10"/>
      <c r="G65" s="10"/>
      <c r="H65" s="10"/>
      <c r="I65" s="10"/>
      <c r="J65" s="10"/>
      <c r="K65" s="10"/>
      <c r="L65" s="10"/>
      <c r="M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</row>
    <row r="66" spans="1:37" x14ac:dyDescent="0.25">
      <c r="A66" s="6">
        <v>4.0000000000000018</v>
      </c>
      <c r="B66" s="6"/>
      <c r="C66" s="6">
        <f t="shared" si="2"/>
        <v>3.6897913271819678</v>
      </c>
      <c r="D66" s="6"/>
      <c r="E66" s="10"/>
      <c r="F66" s="10"/>
      <c r="G66" s="10"/>
      <c r="H66" s="10"/>
      <c r="I66" s="10"/>
      <c r="J66" s="10"/>
      <c r="K66" s="10"/>
      <c r="L66" s="10"/>
      <c r="M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</row>
    <row r="67" spans="1:37" x14ac:dyDescent="0.25">
      <c r="A67" s="6">
        <v>4.1000000000000014</v>
      </c>
      <c r="B67" s="6"/>
      <c r="C67" s="6">
        <f t="shared" si="2"/>
        <v>3.689746117449578</v>
      </c>
      <c r="D67" s="6"/>
      <c r="E67" s="10"/>
      <c r="F67" s="10"/>
      <c r="G67" s="10"/>
      <c r="H67" s="10"/>
      <c r="I67" s="10"/>
      <c r="J67" s="10"/>
      <c r="K67" s="10"/>
      <c r="L67" s="10"/>
      <c r="M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</row>
    <row r="68" spans="1:37" x14ac:dyDescent="0.25">
      <c r="A68" s="6">
        <v>4.2000000000000011</v>
      </c>
      <c r="B68" s="6"/>
      <c r="C68" s="6">
        <f t="shared" si="2"/>
        <v>3.6897116299033965</v>
      </c>
      <c r="D68" s="6"/>
      <c r="E68" s="10"/>
      <c r="F68" s="10"/>
      <c r="G68" s="10"/>
      <c r="H68" s="10"/>
      <c r="I68" s="10"/>
      <c r="J68" s="10"/>
      <c r="K68" s="10"/>
      <c r="L68" s="10"/>
      <c r="M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x14ac:dyDescent="0.25">
      <c r="A69" s="6">
        <v>4.3000000000000007</v>
      </c>
      <c r="B69" s="6"/>
      <c r="C69" s="6">
        <f t="shared" si="2"/>
        <v>3.6896853221838923</v>
      </c>
      <c r="D69" s="6"/>
      <c r="E69" s="10"/>
      <c r="F69" s="10"/>
      <c r="G69" s="10"/>
      <c r="H69" s="10"/>
      <c r="I69" s="10"/>
      <c r="J69" s="10"/>
      <c r="K69" s="10"/>
      <c r="L69" s="10"/>
      <c r="M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</row>
    <row r="70" spans="1:37" x14ac:dyDescent="0.25">
      <c r="A70" s="6">
        <v>4.4000000000000004</v>
      </c>
      <c r="B70" s="6"/>
      <c r="C70" s="6">
        <f t="shared" si="2"/>
        <v>3.6896652545162159</v>
      </c>
      <c r="D70" s="6"/>
      <c r="E70" s="10"/>
      <c r="F70" s="10"/>
      <c r="G70" s="10"/>
      <c r="H70" s="10"/>
      <c r="I70" s="10"/>
      <c r="J70" s="10"/>
      <c r="K70" s="10"/>
      <c r="L70" s="10"/>
      <c r="M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</row>
    <row r="71" spans="1:37" x14ac:dyDescent="0.25">
      <c r="A71" s="6">
        <v>4.5</v>
      </c>
      <c r="B71" s="6"/>
      <c r="C71" s="6">
        <f t="shared" si="2"/>
        <v>3.6896499469869632</v>
      </c>
      <c r="D71" s="6"/>
      <c r="E71" s="10"/>
      <c r="F71" s="10"/>
      <c r="G71" s="10"/>
      <c r="H71" s="10"/>
      <c r="I71" s="10"/>
      <c r="J71" s="10"/>
      <c r="K71" s="10"/>
      <c r="L71" s="10"/>
      <c r="M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</row>
    <row r="72" spans="1:37" x14ac:dyDescent="0.25">
      <c r="A72" s="6">
        <v>4.5999999999999996</v>
      </c>
      <c r="B72" s="6"/>
      <c r="C72" s="6">
        <f t="shared" si="2"/>
        <v>3.6896382705833131</v>
      </c>
      <c r="D72" s="6"/>
      <c r="E72" s="10"/>
      <c r="F72" s="10"/>
      <c r="G72" s="10"/>
      <c r="H72" s="10"/>
      <c r="I72" s="10"/>
      <c r="J72" s="10"/>
      <c r="K72" s="10"/>
      <c r="L72" s="10"/>
      <c r="M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</row>
    <row r="73" spans="1:37" x14ac:dyDescent="0.25">
      <c r="A73" s="6">
        <v>4.6999999999999993</v>
      </c>
      <c r="B73" s="6"/>
      <c r="C73" s="6">
        <f t="shared" si="2"/>
        <v>3.6896293640252904</v>
      </c>
      <c r="D73" s="6"/>
      <c r="E73" s="10"/>
      <c r="F73" s="10"/>
      <c r="G73" s="10"/>
      <c r="H73" s="10"/>
      <c r="I73" s="10"/>
      <c r="J73" s="10"/>
      <c r="K73" s="10"/>
      <c r="L73" s="10"/>
      <c r="M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</row>
    <row r="74" spans="1:37" x14ac:dyDescent="0.25">
      <c r="A74" s="6">
        <v>4.7999999999999989</v>
      </c>
      <c r="B74" s="6"/>
      <c r="C74" s="6">
        <f t="shared" si="2"/>
        <v>3.6896225702956231</v>
      </c>
      <c r="D74" s="6"/>
      <c r="E74" s="10"/>
      <c r="F74" s="10"/>
      <c r="G74" s="10"/>
      <c r="H74" s="10"/>
      <c r="I74" s="10"/>
      <c r="J74" s="10"/>
      <c r="K74" s="10"/>
      <c r="L74" s="10"/>
      <c r="M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</row>
    <row r="75" spans="1:37" x14ac:dyDescent="0.25">
      <c r="A75" s="6">
        <v>4.8999999999999986</v>
      </c>
      <c r="B75" s="6"/>
      <c r="C75" s="6">
        <f t="shared" si="2"/>
        <v>3.6896173882079113</v>
      </c>
      <c r="D75" s="6"/>
      <c r="E75" s="10"/>
      <c r="F75" s="10"/>
      <c r="G75" s="10"/>
      <c r="H75" s="10"/>
      <c r="I75" s="10"/>
      <c r="J75" s="10"/>
      <c r="K75" s="10"/>
      <c r="L75" s="10"/>
      <c r="M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</row>
    <row r="76" spans="1:37" x14ac:dyDescent="0.25">
      <c r="A76" s="6">
        <v>4.9999999999999982</v>
      </c>
      <c r="B76" s="6"/>
      <c r="C76" s="6">
        <f t="shared" si="2"/>
        <v>3.6896134354534551</v>
      </c>
      <c r="D76" s="6"/>
      <c r="E76" s="10"/>
      <c r="F76" s="10"/>
      <c r="G76" s="10"/>
      <c r="H76" s="10"/>
      <c r="I76" s="10"/>
      <c r="J76" s="10"/>
      <c r="K76" s="10"/>
      <c r="L76" s="10"/>
      <c r="M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x14ac:dyDescent="0.25">
      <c r="A77" s="6">
        <v>5.0999999999999979</v>
      </c>
      <c r="B77" s="6"/>
      <c r="C77" s="6">
        <f t="shared" si="2"/>
        <v>3.6896104204082301</v>
      </c>
      <c r="D77" s="6"/>
      <c r="E77" s="10"/>
      <c r="F77" s="10"/>
      <c r="G77" s="10"/>
      <c r="H77" s="10"/>
      <c r="I77" s="10"/>
      <c r="J77" s="10"/>
      <c r="K77" s="10"/>
      <c r="L77" s="10"/>
      <c r="M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25">
      <c r="A78" s="6">
        <v>5.1999999999999975</v>
      </c>
      <c r="B78" s="6"/>
      <c r="C78" s="6">
        <f t="shared" si="2"/>
        <v>3.6896081206244942</v>
      </c>
      <c r="D78" s="6"/>
      <c r="E78" s="10"/>
      <c r="F78" s="10"/>
      <c r="G78" s="10"/>
      <c r="H78" s="10"/>
      <c r="I78" s="10"/>
      <c r="J78" s="10"/>
      <c r="K78" s="10"/>
      <c r="L78" s="10"/>
      <c r="M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</row>
    <row r="79" spans="1:37" x14ac:dyDescent="0.25">
      <c r="A79" s="6">
        <v>5.2999999999999972</v>
      </c>
      <c r="B79" s="6"/>
      <c r="C79" s="6">
        <f t="shared" si="2"/>
        <v>3.6896063664227627</v>
      </c>
      <c r="D79" s="6"/>
      <c r="E79" s="10"/>
      <c r="F79" s="10"/>
      <c r="G79" s="10"/>
      <c r="H79" s="10"/>
      <c r="I79" s="10"/>
      <c r="J79" s="10"/>
      <c r="K79" s="10"/>
      <c r="L79" s="10"/>
      <c r="M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</row>
    <row r="80" spans="1:37" x14ac:dyDescent="0.25">
      <c r="A80" s="6">
        <v>5.3999999999999968</v>
      </c>
      <c r="B80" s="6"/>
      <c r="C80" s="6">
        <f t="shared" si="2"/>
        <v>3.6896050283750768</v>
      </c>
      <c r="D80" s="6"/>
      <c r="E80" s="10"/>
      <c r="F80" s="10"/>
      <c r="G80" s="10"/>
      <c r="H80" s="10"/>
      <c r="I80" s="10"/>
      <c r="J80" s="10"/>
      <c r="K80" s="10"/>
      <c r="L80" s="10"/>
      <c r="M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</row>
    <row r="81" spans="1:37" x14ac:dyDescent="0.25">
      <c r="A81" s="6">
        <v>5.4999999999999964</v>
      </c>
      <c r="B81" s="6"/>
      <c r="C81" s="6">
        <f t="shared" si="2"/>
        <v>3.6896040077569419</v>
      </c>
      <c r="D81" s="6"/>
      <c r="E81" s="10"/>
      <c r="F81" s="10"/>
      <c r="G81" s="10"/>
      <c r="H81" s="10"/>
      <c r="I81" s="10"/>
      <c r="J81" s="10"/>
      <c r="K81" s="10"/>
      <c r="L81" s="10"/>
      <c r="M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x14ac:dyDescent="0.25">
      <c r="A82" s="6">
        <v>5.5999999999999961</v>
      </c>
      <c r="B82" s="6"/>
      <c r="C82" s="6">
        <f t="shared" si="2"/>
        <v>3.6896032292639807</v>
      </c>
      <c r="D82" s="6"/>
      <c r="E82" s="10"/>
      <c r="F82" s="10"/>
      <c r="G82" s="10"/>
      <c r="H82" s="10"/>
      <c r="I82" s="10"/>
      <c r="J82" s="10"/>
      <c r="K82" s="10"/>
      <c r="L82" s="10"/>
      <c r="M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</row>
    <row r="83" spans="1:37" x14ac:dyDescent="0.25">
      <c r="A83" s="6">
        <v>5.6999999999999957</v>
      </c>
      <c r="B83" s="6"/>
      <c r="C83" s="6">
        <f t="shared" si="2"/>
        <v>3.6896026354561968</v>
      </c>
      <c r="D83" s="6"/>
      <c r="E83" s="10"/>
      <c r="F83" s="10"/>
      <c r="G83" s="10"/>
      <c r="H83" s="10"/>
      <c r="I83" s="10"/>
      <c r="J83" s="10"/>
      <c r="K83" s="10"/>
      <c r="L83" s="10"/>
      <c r="M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</row>
    <row r="84" spans="1:37" x14ac:dyDescent="0.25">
      <c r="A84" s="6">
        <v>5.7999999999999954</v>
      </c>
      <c r="B84" s="6"/>
      <c r="C84" s="6">
        <f t="shared" si="2"/>
        <v>3.689602182520114</v>
      </c>
      <c r="D84" s="6"/>
      <c r="E84" s="10"/>
      <c r="F84" s="10"/>
      <c r="G84" s="10"/>
      <c r="H84" s="10"/>
      <c r="I84" s="10"/>
      <c r="J84" s="10"/>
      <c r="K84" s="10"/>
      <c r="L84" s="10"/>
      <c r="M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</row>
    <row r="85" spans="1:37" x14ac:dyDescent="0.25">
      <c r="A85" s="6">
        <v>5.899999999999995</v>
      </c>
      <c r="B85" s="6"/>
      <c r="C85" s="6">
        <f t="shared" si="2"/>
        <v>3.6896018370362014</v>
      </c>
      <c r="D85" s="6"/>
      <c r="E85" s="10"/>
      <c r="F85" s="10"/>
      <c r="G85" s="10"/>
      <c r="H85" s="10"/>
      <c r="I85" s="10"/>
      <c r="J85" s="10"/>
      <c r="K85" s="10"/>
      <c r="L85" s="10"/>
      <c r="M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x14ac:dyDescent="0.25">
      <c r="A86" s="6">
        <v>5.9999999999999947</v>
      </c>
      <c r="B86" s="6"/>
      <c r="C86" s="6">
        <f t="shared" si="2"/>
        <v>3.68960157351313</v>
      </c>
      <c r="D86" s="6"/>
      <c r="E86" s="10"/>
      <c r="F86" s="10"/>
      <c r="G86" s="10"/>
      <c r="H86" s="10"/>
      <c r="I86" s="10"/>
      <c r="J86" s="10"/>
      <c r="K86" s="10"/>
      <c r="L86" s="10"/>
      <c r="M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</row>
    <row r="87" spans="1:37" x14ac:dyDescent="0.25">
      <c r="A87" s="6">
        <v>6.0999999999999943</v>
      </c>
      <c r="B87" s="6"/>
      <c r="C87" s="6">
        <f t="shared" si="2"/>
        <v>3.6896013725069614</v>
      </c>
      <c r="D87" s="6"/>
      <c r="E87" s="10"/>
      <c r="F87" s="10"/>
      <c r="G87" s="10"/>
      <c r="H87" s="10"/>
      <c r="I87" s="10"/>
      <c r="J87" s="10"/>
      <c r="K87" s="10"/>
      <c r="L87" s="10"/>
      <c r="M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</row>
    <row r="88" spans="1:37" x14ac:dyDescent="0.25">
      <c r="A88" s="6">
        <v>6.199999999999994</v>
      </c>
      <c r="B88" s="6"/>
      <c r="C88" s="6">
        <f t="shared" si="2"/>
        <v>3.6896012191865157</v>
      </c>
      <c r="D88" s="6"/>
      <c r="E88" s="10"/>
      <c r="F88" s="10"/>
      <c r="G88" s="10"/>
      <c r="H88" s="10"/>
      <c r="I88" s="10"/>
      <c r="J88" s="10"/>
      <c r="K88" s="10"/>
      <c r="L88" s="10"/>
      <c r="M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</row>
    <row r="89" spans="1:37" x14ac:dyDescent="0.25">
      <c r="A89" s="6">
        <v>6.2999999999999936</v>
      </c>
      <c r="B89" s="6"/>
      <c r="C89" s="6">
        <f t="shared" si="2"/>
        <v>3.689601102239076</v>
      </c>
      <c r="D89" s="6"/>
      <c r="E89" s="10"/>
      <c r="F89" s="10"/>
      <c r="G89" s="10"/>
      <c r="H89" s="10"/>
      <c r="I89" s="10"/>
      <c r="J89" s="10"/>
      <c r="K89" s="10"/>
      <c r="L89" s="10"/>
      <c r="M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</row>
    <row r="90" spans="1:37" x14ac:dyDescent="0.25">
      <c r="A90" s="6">
        <v>6.3999999999999932</v>
      </c>
      <c r="B90" s="6"/>
      <c r="C90" s="6">
        <f t="shared" si="2"/>
        <v>3.6896010130356918</v>
      </c>
      <c r="D90" s="6"/>
      <c r="E90" s="10"/>
      <c r="F90" s="10"/>
      <c r="G90" s="10"/>
      <c r="H90" s="10"/>
      <c r="I90" s="10"/>
      <c r="J90" s="10"/>
      <c r="K90" s="10"/>
      <c r="L90" s="10"/>
      <c r="M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</row>
    <row r="91" spans="1:37" x14ac:dyDescent="0.25">
      <c r="A91" s="6">
        <v>6.4999999999999929</v>
      </c>
      <c r="B91" s="6"/>
      <c r="C91" s="6">
        <f t="shared" ref="C91:C126" si="3" xml:space="preserve"> LOG((10^$G$5 - 10^$G$4) * EXP(-$G$3 *A91 )  + 10^$G$4)</f>
        <v>3.6896009449944991</v>
      </c>
      <c r="D91" s="6"/>
      <c r="E91" s="10"/>
      <c r="F91" s="10"/>
      <c r="G91" s="10"/>
      <c r="H91" s="10"/>
      <c r="I91" s="10"/>
      <c r="J91" s="10"/>
      <c r="K91" s="10"/>
      <c r="L91" s="10"/>
      <c r="M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</row>
    <row r="92" spans="1:37" x14ac:dyDescent="0.25">
      <c r="A92" s="6">
        <v>6.5999999999999925</v>
      </c>
      <c r="B92" s="6"/>
      <c r="C92" s="6">
        <f t="shared" si="3"/>
        <v>3.6896008930950805</v>
      </c>
      <c r="D92" s="6"/>
      <c r="E92" s="10"/>
      <c r="F92" s="10"/>
      <c r="G92" s="10"/>
      <c r="H92" s="10"/>
      <c r="I92" s="10"/>
      <c r="J92" s="10"/>
      <c r="K92" s="10"/>
      <c r="L92" s="10"/>
      <c r="M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</row>
    <row r="93" spans="1:37" x14ac:dyDescent="0.25">
      <c r="A93" s="6">
        <v>6.6999999999999922</v>
      </c>
      <c r="B93" s="6"/>
      <c r="C93" s="6">
        <f t="shared" si="3"/>
        <v>3.6896008535080393</v>
      </c>
      <c r="D93" s="6"/>
      <c r="E93" s="10"/>
      <c r="F93" s="10"/>
      <c r="G93" s="10"/>
      <c r="H93" s="10"/>
      <c r="I93" s="10"/>
      <c r="J93" s="10"/>
      <c r="K93" s="10"/>
      <c r="L93" s="10"/>
      <c r="M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</row>
    <row r="94" spans="1:37" x14ac:dyDescent="0.25">
      <c r="A94" s="6">
        <v>6.7999999999999918</v>
      </c>
      <c r="B94" s="6"/>
      <c r="C94" s="6">
        <f t="shared" si="3"/>
        <v>3.6896008233124444</v>
      </c>
      <c r="D94" s="6"/>
      <c r="E94" s="10"/>
      <c r="F94" s="10"/>
      <c r="G94" s="10"/>
      <c r="H94" s="10"/>
      <c r="I94" s="10"/>
      <c r="J94" s="10"/>
      <c r="K94" s="10"/>
      <c r="L94" s="10"/>
      <c r="M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</row>
    <row r="95" spans="1:37" x14ac:dyDescent="0.25">
      <c r="A95" s="6">
        <v>6.8999999999999915</v>
      </c>
      <c r="B95" s="6"/>
      <c r="C95" s="6">
        <f t="shared" si="3"/>
        <v>3.6896008002803131</v>
      </c>
      <c r="D95" s="6"/>
      <c r="E95" s="10"/>
      <c r="F95" s="10"/>
      <c r="G95" s="10"/>
      <c r="H95" s="10"/>
      <c r="I95" s="10"/>
      <c r="J95" s="10"/>
      <c r="K95" s="10"/>
      <c r="L95" s="10"/>
      <c r="M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</row>
    <row r="96" spans="1:37" x14ac:dyDescent="0.25">
      <c r="A96" s="6">
        <v>6.9999999999999911</v>
      </c>
      <c r="B96" s="6"/>
      <c r="C96" s="6">
        <f t="shared" si="3"/>
        <v>3.6896007827122186</v>
      </c>
      <c r="D96" s="6"/>
      <c r="E96" s="10"/>
      <c r="F96" s="10"/>
      <c r="G96" s="10"/>
      <c r="H96" s="10"/>
      <c r="I96" s="10"/>
      <c r="J96" s="10"/>
      <c r="K96" s="10"/>
      <c r="L96" s="10"/>
      <c r="M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</row>
    <row r="97" spans="1:37" x14ac:dyDescent="0.25">
      <c r="A97" s="6">
        <v>7.0999999999999908</v>
      </c>
      <c r="B97" s="6"/>
      <c r="C97" s="6">
        <f t="shared" si="3"/>
        <v>3.6896007693118982</v>
      </c>
      <c r="D97" s="6"/>
      <c r="E97" s="10"/>
      <c r="F97" s="10"/>
      <c r="G97" s="10"/>
      <c r="H97" s="10"/>
      <c r="I97" s="10"/>
      <c r="J97" s="10"/>
      <c r="K97" s="10"/>
      <c r="L97" s="10"/>
      <c r="M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</row>
    <row r="98" spans="1:37" x14ac:dyDescent="0.25">
      <c r="A98" s="6">
        <v>7.1999999999999904</v>
      </c>
      <c r="B98" s="6"/>
      <c r="C98" s="6">
        <f t="shared" si="3"/>
        <v>3.6896007590906086</v>
      </c>
      <c r="D98" s="6"/>
      <c r="E98" s="10"/>
      <c r="F98" s="10"/>
      <c r="G98" s="10"/>
      <c r="H98" s="10"/>
      <c r="I98" s="10"/>
      <c r="J98" s="10"/>
      <c r="K98" s="10"/>
      <c r="L98" s="10"/>
      <c r="M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</row>
    <row r="99" spans="1:37" x14ac:dyDescent="0.25">
      <c r="A99" s="6">
        <v>7.2999999999999901</v>
      </c>
      <c r="B99" s="6"/>
      <c r="C99" s="6">
        <f t="shared" si="3"/>
        <v>3.6896007512941704</v>
      </c>
      <c r="D99" s="6"/>
      <c r="E99" s="10"/>
      <c r="F99" s="10"/>
      <c r="G99" s="10"/>
      <c r="H99" s="10"/>
      <c r="I99" s="10"/>
      <c r="J99" s="10"/>
      <c r="K99" s="10"/>
      <c r="L99" s="10"/>
      <c r="M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</row>
    <row r="100" spans="1:37" x14ac:dyDescent="0.25">
      <c r="A100" s="6">
        <v>7.3999999999999897</v>
      </c>
      <c r="B100" s="6"/>
      <c r="C100" s="6">
        <f t="shared" si="3"/>
        <v>3.6896007453473239</v>
      </c>
      <c r="D100" s="6"/>
      <c r="E100" s="10"/>
      <c r="F100" s="10"/>
      <c r="G100" s="10"/>
      <c r="H100" s="10"/>
      <c r="I100" s="10"/>
      <c r="J100" s="10"/>
      <c r="K100" s="10"/>
      <c r="L100" s="10"/>
      <c r="M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</row>
    <row r="101" spans="1:37" x14ac:dyDescent="0.25">
      <c r="A101" s="6">
        <v>7.4999999999999893</v>
      </c>
      <c r="B101" s="6"/>
      <c r="C101" s="6">
        <f t="shared" si="3"/>
        <v>3.6896007408112799</v>
      </c>
      <c r="D101" s="6"/>
      <c r="E101" s="10"/>
      <c r="F101" s="10"/>
      <c r="G101" s="10"/>
      <c r="H101" s="10"/>
      <c r="I101" s="10"/>
      <c r="J101" s="10"/>
      <c r="K101" s="10"/>
      <c r="L101" s="10"/>
      <c r="M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</row>
    <row r="102" spans="1:37" x14ac:dyDescent="0.25">
      <c r="A102" s="6">
        <v>7.599999999999989</v>
      </c>
      <c r="B102" s="6"/>
      <c r="C102" s="6">
        <f t="shared" si="3"/>
        <v>3.6896007373513462</v>
      </c>
      <c r="D102" s="6"/>
      <c r="E102" s="10"/>
      <c r="F102" s="10"/>
      <c r="G102" s="10"/>
      <c r="H102" s="10"/>
      <c r="I102" s="10"/>
      <c r="J102" s="10"/>
      <c r="K102" s="10"/>
      <c r="L102" s="10"/>
      <c r="M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</row>
    <row r="103" spans="1:37" x14ac:dyDescent="0.25">
      <c r="A103" s="6">
        <v>7.6999999999999886</v>
      </c>
      <c r="B103" s="6"/>
      <c r="C103" s="6">
        <f t="shared" si="3"/>
        <v>3.6896007347122315</v>
      </c>
      <c r="D103" s="6"/>
      <c r="E103" s="10"/>
      <c r="F103" s="10"/>
      <c r="G103" s="10"/>
      <c r="H103" s="10"/>
      <c r="I103" s="10"/>
      <c r="J103" s="10"/>
      <c r="K103" s="10"/>
      <c r="L103" s="10"/>
      <c r="M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</row>
    <row r="104" spans="1:37" x14ac:dyDescent="0.25">
      <c r="A104" s="6">
        <v>7.7999999999999883</v>
      </c>
      <c r="B104" s="6"/>
      <c r="C104" s="6">
        <f t="shared" si="3"/>
        <v>3.689600732699208</v>
      </c>
      <c r="D104" s="6"/>
      <c r="E104" s="10"/>
      <c r="F104" s="10"/>
      <c r="G104" s="10"/>
      <c r="H104" s="10"/>
      <c r="I104" s="10"/>
      <c r="J104" s="10"/>
      <c r="K104" s="10"/>
      <c r="L104" s="10"/>
      <c r="M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</row>
    <row r="105" spans="1:37" x14ac:dyDescent="0.25">
      <c r="A105" s="6">
        <v>7.8999999999999879</v>
      </c>
      <c r="B105" s="6"/>
      <c r="C105" s="6">
        <f t="shared" si="3"/>
        <v>3.6896007311637455</v>
      </c>
      <c r="D105" s="6"/>
      <c r="E105" s="10"/>
      <c r="F105" s="10"/>
      <c r="G105" s="10"/>
      <c r="H105" s="10"/>
      <c r="I105" s="10"/>
      <c r="J105" s="10"/>
      <c r="K105" s="10"/>
      <c r="L105" s="10"/>
      <c r="M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</row>
    <row r="106" spans="1:37" x14ac:dyDescent="0.25">
      <c r="A106" s="6">
        <v>7.9999999999999876</v>
      </c>
      <c r="B106" s="6"/>
      <c r="C106" s="6">
        <f t="shared" si="3"/>
        <v>3.6896007299925486</v>
      </c>
      <c r="D106" s="6"/>
      <c r="E106" s="10"/>
      <c r="F106" s="10"/>
      <c r="G106" s="10"/>
      <c r="H106" s="10"/>
      <c r="I106" s="10"/>
      <c r="J106" s="10"/>
      <c r="K106" s="10"/>
      <c r="L106" s="10"/>
      <c r="M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</row>
    <row r="107" spans="1:37" x14ac:dyDescent="0.25">
      <c r="A107" s="6">
        <v>8.0999999999999872</v>
      </c>
      <c r="B107" s="6"/>
      <c r="C107" s="6">
        <f t="shared" si="3"/>
        <v>3.6896007290992014</v>
      </c>
      <c r="D107" s="6"/>
      <c r="E107" s="10"/>
      <c r="F107" s="10"/>
      <c r="G107" s="10"/>
      <c r="H107" s="10"/>
      <c r="I107" s="10"/>
      <c r="J107" s="10"/>
      <c r="K107" s="10"/>
      <c r="L107" s="10"/>
      <c r="M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</row>
    <row r="108" spans="1:37" x14ac:dyDescent="0.25">
      <c r="A108" s="6">
        <v>8.1999999999999869</v>
      </c>
      <c r="B108" s="6"/>
      <c r="C108" s="6">
        <f t="shared" si="3"/>
        <v>3.6896007284177879</v>
      </c>
      <c r="D108" s="6"/>
      <c r="E108" s="10"/>
      <c r="F108" s="10"/>
      <c r="G108" s="10"/>
      <c r="H108" s="10"/>
      <c r="I108" s="10"/>
      <c r="J108" s="10"/>
      <c r="K108" s="10"/>
      <c r="L108" s="10"/>
      <c r="M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</row>
    <row r="109" spans="1:37" x14ac:dyDescent="0.25">
      <c r="A109" s="6">
        <v>8.2999999999999865</v>
      </c>
      <c r="B109" s="6"/>
      <c r="C109" s="6">
        <f t="shared" si="3"/>
        <v>3.6896007278980294</v>
      </c>
      <c r="D109" s="6"/>
      <c r="E109" s="10"/>
      <c r="F109" s="10"/>
      <c r="G109" s="10"/>
      <c r="H109" s="10"/>
      <c r="I109" s="10"/>
      <c r="J109" s="10"/>
      <c r="K109" s="10"/>
      <c r="L109" s="10"/>
      <c r="M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</row>
    <row r="110" spans="1:37" x14ac:dyDescent="0.25">
      <c r="A110" s="6">
        <v>8.3999999999999861</v>
      </c>
      <c r="B110" s="6"/>
      <c r="C110" s="6">
        <f t="shared" si="3"/>
        <v>3.6896007275015763</v>
      </c>
      <c r="D110" s="6"/>
      <c r="E110" s="10"/>
      <c r="F110" s="10"/>
      <c r="G110" s="10"/>
      <c r="H110" s="10"/>
      <c r="I110" s="10"/>
      <c r="J110" s="10"/>
      <c r="K110" s="10"/>
      <c r="L110" s="10"/>
      <c r="M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</row>
    <row r="111" spans="1:37" x14ac:dyDescent="0.25">
      <c r="A111" s="6">
        <v>8.4999999999999858</v>
      </c>
      <c r="B111" s="6"/>
      <c r="C111" s="6">
        <f t="shared" si="3"/>
        <v>3.689600727199176</v>
      </c>
      <c r="D111" s="6"/>
      <c r="E111" s="10"/>
      <c r="F111" s="10"/>
      <c r="G111" s="10"/>
      <c r="H111" s="10"/>
      <c r="I111" s="10"/>
      <c r="J111" s="10"/>
      <c r="K111" s="10"/>
      <c r="L111" s="10"/>
      <c r="M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</row>
    <row r="112" spans="1:37" x14ac:dyDescent="0.25">
      <c r="A112" s="6">
        <v>8.5999999999999854</v>
      </c>
      <c r="B112" s="6"/>
      <c r="C112" s="6">
        <f t="shared" si="3"/>
        <v>3.6896007269685156</v>
      </c>
      <c r="D112" s="6"/>
      <c r="E112" s="10"/>
      <c r="F112" s="10"/>
      <c r="G112" s="10"/>
      <c r="H112" s="10"/>
      <c r="I112" s="10"/>
      <c r="J112" s="10"/>
      <c r="K112" s="10"/>
      <c r="L112" s="10"/>
      <c r="M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</row>
    <row r="113" spans="1:37" x14ac:dyDescent="0.25">
      <c r="A113" s="6">
        <v>8.6999999999999851</v>
      </c>
      <c r="B113" s="6"/>
      <c r="C113" s="6">
        <f t="shared" si="3"/>
        <v>3.6896007267925759</v>
      </c>
      <c r="D113" s="6"/>
      <c r="E113" s="10"/>
      <c r="F113" s="10"/>
      <c r="G113" s="10"/>
      <c r="H113" s="10"/>
      <c r="I113" s="10"/>
      <c r="J113" s="10"/>
      <c r="K113" s="10"/>
      <c r="L113" s="10"/>
      <c r="M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</row>
    <row r="114" spans="1:37" x14ac:dyDescent="0.25">
      <c r="A114" s="6">
        <v>8.7999999999999847</v>
      </c>
      <c r="B114" s="6"/>
      <c r="C114" s="6">
        <f t="shared" si="3"/>
        <v>3.6896007266583757</v>
      </c>
      <c r="D114" s="6"/>
      <c r="E114" s="10"/>
      <c r="F114" s="10"/>
      <c r="G114" s="10"/>
      <c r="H114" s="10"/>
      <c r="I114" s="10"/>
      <c r="J114" s="10"/>
      <c r="K114" s="10"/>
      <c r="L114" s="10"/>
      <c r="M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</row>
    <row r="115" spans="1:37" x14ac:dyDescent="0.25">
      <c r="A115" s="6">
        <v>8.8999999999999844</v>
      </c>
      <c r="B115" s="6"/>
      <c r="C115" s="6">
        <f t="shared" si="3"/>
        <v>3.6896007265560122</v>
      </c>
      <c r="D115" s="6"/>
      <c r="E115" s="10"/>
      <c r="F115" s="10"/>
      <c r="G115" s="10"/>
      <c r="H115" s="10"/>
      <c r="I115" s="10"/>
      <c r="J115" s="10"/>
      <c r="K115" s="10"/>
      <c r="L115" s="10"/>
      <c r="M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</row>
    <row r="116" spans="1:37" x14ac:dyDescent="0.25">
      <c r="A116" s="6">
        <v>8.999999999999984</v>
      </c>
      <c r="B116" s="6"/>
      <c r="C116" s="6">
        <f t="shared" si="3"/>
        <v>3.6896007264779334</v>
      </c>
      <c r="D116" s="6"/>
      <c r="E116" s="10"/>
      <c r="F116" s="10"/>
      <c r="G116" s="10"/>
      <c r="H116" s="10"/>
      <c r="I116" s="10"/>
      <c r="J116" s="10"/>
      <c r="K116" s="10"/>
      <c r="L116" s="10"/>
      <c r="M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</row>
    <row r="117" spans="1:37" x14ac:dyDescent="0.25">
      <c r="A117" s="6">
        <v>9.0999999999999837</v>
      </c>
      <c r="B117" s="6"/>
      <c r="C117" s="6">
        <f t="shared" si="3"/>
        <v>3.6896007264183774</v>
      </c>
      <c r="D117" s="6"/>
      <c r="E117" s="10"/>
      <c r="F117" s="10"/>
      <c r="G117" s="10"/>
      <c r="H117" s="10"/>
      <c r="I117" s="10"/>
      <c r="J117" s="10"/>
      <c r="K117" s="10"/>
      <c r="L117" s="10"/>
      <c r="M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</row>
    <row r="118" spans="1:37" x14ac:dyDescent="0.25">
      <c r="A118" s="6">
        <v>9.1999999999999833</v>
      </c>
      <c r="B118" s="6"/>
      <c r="C118" s="6">
        <f t="shared" si="3"/>
        <v>3.6896007263729502</v>
      </c>
      <c r="D118" s="6"/>
      <c r="E118" s="10"/>
      <c r="F118" s="10"/>
      <c r="G118" s="10"/>
      <c r="H118" s="10"/>
      <c r="I118" s="10"/>
      <c r="J118" s="10"/>
      <c r="K118" s="10"/>
      <c r="L118" s="10"/>
      <c r="M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</row>
    <row r="119" spans="1:37" x14ac:dyDescent="0.25">
      <c r="A119" s="6">
        <v>9.2999999999999829</v>
      </c>
      <c r="B119" s="6"/>
      <c r="C119" s="6">
        <f t="shared" si="3"/>
        <v>3.6896007263382997</v>
      </c>
      <c r="D119" s="6"/>
      <c r="E119" s="10"/>
      <c r="F119" s="10"/>
      <c r="G119" s="10"/>
      <c r="H119" s="10"/>
      <c r="I119" s="10"/>
      <c r="J119" s="10"/>
      <c r="K119" s="10"/>
      <c r="L119" s="10"/>
      <c r="M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</row>
    <row r="120" spans="1:37" x14ac:dyDescent="0.25">
      <c r="A120" s="6">
        <v>9.3999999999999826</v>
      </c>
      <c r="B120" s="6"/>
      <c r="C120" s="6">
        <f t="shared" si="3"/>
        <v>3.6896007263118697</v>
      </c>
      <c r="D120" s="6"/>
      <c r="E120" s="10"/>
      <c r="F120" s="10"/>
      <c r="G120" s="10"/>
      <c r="H120" s="10"/>
      <c r="I120" s="10"/>
      <c r="J120" s="10"/>
      <c r="K120" s="10"/>
      <c r="L120" s="10"/>
      <c r="M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</row>
    <row r="121" spans="1:37" x14ac:dyDescent="0.25">
      <c r="A121" s="6">
        <v>9.4999999999999822</v>
      </c>
      <c r="B121" s="6"/>
      <c r="C121" s="6">
        <f t="shared" si="3"/>
        <v>3.6896007262917099</v>
      </c>
      <c r="D121" s="6"/>
      <c r="E121" s="10"/>
      <c r="F121" s="10"/>
      <c r="G121" s="10"/>
      <c r="H121" s="10"/>
      <c r="I121" s="10"/>
      <c r="J121" s="10"/>
      <c r="K121" s="10"/>
      <c r="L121" s="10"/>
      <c r="M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</row>
    <row r="122" spans="1:37" x14ac:dyDescent="0.25">
      <c r="A122" s="6">
        <v>9.5999999999999819</v>
      </c>
      <c r="B122" s="6"/>
      <c r="C122" s="6">
        <f t="shared" si="3"/>
        <v>3.6896007262763328</v>
      </c>
      <c r="D122" s="6"/>
      <c r="E122" s="10"/>
      <c r="F122" s="10"/>
      <c r="G122" s="10"/>
      <c r="H122" s="10"/>
      <c r="I122" s="10"/>
      <c r="J122" s="10"/>
      <c r="K122" s="10"/>
      <c r="L122" s="10"/>
      <c r="M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</row>
    <row r="123" spans="1:37" x14ac:dyDescent="0.25">
      <c r="A123" s="6">
        <v>9.6999999999999815</v>
      </c>
      <c r="B123" s="6"/>
      <c r="C123" s="6">
        <f t="shared" si="3"/>
        <v>3.6896007262646036</v>
      </c>
      <c r="D123" s="6"/>
      <c r="E123" s="10"/>
      <c r="F123" s="10"/>
      <c r="G123" s="10"/>
      <c r="H123" s="10"/>
      <c r="I123" s="10"/>
      <c r="J123" s="10"/>
      <c r="K123" s="10"/>
      <c r="L123" s="10"/>
      <c r="M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</row>
    <row r="124" spans="1:37" x14ac:dyDescent="0.25">
      <c r="A124" s="6">
        <v>9.7999999999999812</v>
      </c>
      <c r="B124" s="6"/>
      <c r="C124" s="6">
        <f t="shared" si="3"/>
        <v>3.6896007262556569</v>
      </c>
      <c r="D124" s="6"/>
      <c r="E124" s="10"/>
      <c r="F124" s="10"/>
      <c r="G124" s="10"/>
      <c r="H124" s="10"/>
      <c r="I124" s="10"/>
      <c r="J124" s="10"/>
      <c r="K124" s="10"/>
      <c r="L124" s="10"/>
      <c r="M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</row>
    <row r="125" spans="1:37" x14ac:dyDescent="0.25">
      <c r="A125" s="6">
        <v>9.8999999999999808</v>
      </c>
      <c r="B125" s="6"/>
      <c r="C125" s="6">
        <f t="shared" si="3"/>
        <v>3.6896007262488326</v>
      </c>
      <c r="D125" s="6"/>
      <c r="E125" s="10"/>
      <c r="F125" s="10"/>
      <c r="G125" s="10"/>
      <c r="H125" s="10"/>
      <c r="I125" s="10"/>
      <c r="J125" s="10"/>
      <c r="K125" s="10"/>
      <c r="L125" s="10"/>
      <c r="M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</row>
    <row r="126" spans="1:37" x14ac:dyDescent="0.25">
      <c r="A126" s="6">
        <v>9.9999999999999805</v>
      </c>
      <c r="B126" s="6"/>
      <c r="C126" s="6">
        <f t="shared" si="3"/>
        <v>3.6896007262436274</v>
      </c>
      <c r="D126" s="6"/>
      <c r="E126" s="10"/>
      <c r="F126" s="10"/>
      <c r="G126" s="10"/>
      <c r="H126" s="10"/>
      <c r="I126" s="10"/>
      <c r="J126" s="10"/>
      <c r="K126" s="10"/>
      <c r="L126" s="10"/>
      <c r="M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</row>
  </sheetData>
  <mergeCells count="1">
    <mergeCell ref="F12:L1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80" zoomScaleNormal="80" workbookViewId="0">
      <selection sqref="A1:F22"/>
    </sheetView>
  </sheetViews>
  <sheetFormatPr defaultRowHeight="15" x14ac:dyDescent="0.25"/>
  <cols>
    <col min="1" max="1" width="16" style="9" bestFit="1" customWidth="1"/>
    <col min="2" max="2" width="10.5703125" style="9" bestFit="1" customWidth="1"/>
    <col min="3" max="3" width="11.42578125" style="9" bestFit="1" customWidth="1"/>
    <col min="4" max="4" width="13.7109375" style="9" bestFit="1" customWidth="1"/>
    <col min="5" max="16384" width="9.140625" style="9"/>
  </cols>
  <sheetData>
    <row r="1" spans="1:6" x14ac:dyDescent="0.25">
      <c r="A1" s="16" t="s">
        <v>4</v>
      </c>
      <c r="B1" s="16" t="s">
        <v>5</v>
      </c>
      <c r="C1" s="16" t="s">
        <v>38</v>
      </c>
      <c r="D1" s="16" t="s">
        <v>39</v>
      </c>
      <c r="E1" s="9" t="s">
        <v>6</v>
      </c>
      <c r="F1" s="9" t="s">
        <v>3</v>
      </c>
    </row>
    <row r="2" spans="1:6" x14ac:dyDescent="0.25">
      <c r="A2" s="16">
        <v>12662</v>
      </c>
      <c r="B2" s="16" t="s">
        <v>0</v>
      </c>
      <c r="C2" s="16" t="s">
        <v>40</v>
      </c>
      <c r="D2" s="16" t="s">
        <v>41</v>
      </c>
      <c r="E2" s="10">
        <v>0</v>
      </c>
      <c r="F2" s="18">
        <f>LOG10(2.17*10^5)</f>
        <v>5.3364597338485291</v>
      </c>
    </row>
    <row r="3" spans="1:6" x14ac:dyDescent="0.25">
      <c r="A3" s="16">
        <v>12662</v>
      </c>
      <c r="B3" s="16" t="s">
        <v>0</v>
      </c>
      <c r="C3" s="16" t="s">
        <v>40</v>
      </c>
      <c r="D3" s="16" t="s">
        <v>41</v>
      </c>
      <c r="E3" s="10">
        <v>1</v>
      </c>
      <c r="F3" s="18">
        <f>LOG10(2.7*10^4)</f>
        <v>4.4313637641589869</v>
      </c>
    </row>
    <row r="4" spans="1:6" x14ac:dyDescent="0.25">
      <c r="A4" s="16">
        <v>12662</v>
      </c>
      <c r="B4" s="16" t="s">
        <v>0</v>
      </c>
      <c r="C4" s="16" t="s">
        <v>40</v>
      </c>
      <c r="D4" s="16" t="s">
        <v>41</v>
      </c>
      <c r="E4" s="10">
        <v>2</v>
      </c>
      <c r="F4" s="18">
        <f>LOG10(7.3*10^3)</f>
        <v>3.8633228601204559</v>
      </c>
    </row>
    <row r="5" spans="1:6" x14ac:dyDescent="0.25">
      <c r="A5" s="16">
        <v>12662</v>
      </c>
      <c r="B5" s="16" t="s">
        <v>0</v>
      </c>
      <c r="C5" s="16" t="s">
        <v>40</v>
      </c>
      <c r="D5" s="16" t="s">
        <v>41</v>
      </c>
      <c r="E5" s="10">
        <v>4</v>
      </c>
      <c r="F5" s="18">
        <f>LOG10(1.67*10^4)</f>
        <v>4.2227164711475833</v>
      </c>
    </row>
    <row r="6" spans="1:6" x14ac:dyDescent="0.25">
      <c r="A6" s="16">
        <v>12662</v>
      </c>
      <c r="B6" s="16" t="s">
        <v>0</v>
      </c>
      <c r="C6" s="16" t="s">
        <v>40</v>
      </c>
      <c r="D6" s="16" t="s">
        <v>41</v>
      </c>
      <c r="E6" s="10">
        <v>6</v>
      </c>
      <c r="F6" s="18">
        <f>LOG10(1.83*10^4)</f>
        <v>4.2624510897304297</v>
      </c>
    </row>
    <row r="7" spans="1:6" x14ac:dyDescent="0.25">
      <c r="A7" s="16">
        <v>12662</v>
      </c>
      <c r="B7" s="16" t="s">
        <v>0</v>
      </c>
      <c r="C7" s="16" t="s">
        <v>40</v>
      </c>
      <c r="D7" s="16" t="s">
        <v>41</v>
      </c>
      <c r="E7" s="10">
        <v>8</v>
      </c>
      <c r="F7" s="18">
        <f>LOG10(3.5*10^3)</f>
        <v>3.5440680443502757</v>
      </c>
    </row>
    <row r="8" spans="1:6" x14ac:dyDescent="0.25">
      <c r="A8" s="16">
        <v>12662</v>
      </c>
      <c r="B8" s="16" t="s">
        <v>0</v>
      </c>
      <c r="C8" s="16" t="s">
        <v>40</v>
      </c>
      <c r="D8" s="16" t="s">
        <v>41</v>
      </c>
      <c r="E8" s="10">
        <v>10</v>
      </c>
      <c r="F8" s="18">
        <f>LOG10(1.235*10^4)</f>
        <v>4.0916669575956846</v>
      </c>
    </row>
    <row r="9" spans="1:6" x14ac:dyDescent="0.25">
      <c r="A9" s="16">
        <v>12662</v>
      </c>
      <c r="B9" s="16" t="s">
        <v>1</v>
      </c>
      <c r="C9" s="16" t="s">
        <v>40</v>
      </c>
      <c r="D9" s="16" t="s">
        <v>41</v>
      </c>
      <c r="E9" s="10">
        <v>0</v>
      </c>
      <c r="F9" s="18">
        <f>LOG10(3*10^5)</f>
        <v>5.4771212547196626</v>
      </c>
    </row>
    <row r="10" spans="1:6" x14ac:dyDescent="0.25">
      <c r="A10" s="16">
        <v>12662</v>
      </c>
      <c r="B10" s="16" t="s">
        <v>1</v>
      </c>
      <c r="C10" s="16" t="s">
        <v>40</v>
      </c>
      <c r="D10" s="16" t="s">
        <v>41</v>
      </c>
      <c r="E10" s="10">
        <v>1</v>
      </c>
      <c r="F10" s="18">
        <f>LOG10(9.7*10^3)</f>
        <v>3.9867717342662448</v>
      </c>
    </row>
    <row r="11" spans="1:6" x14ac:dyDescent="0.25">
      <c r="A11" s="16">
        <v>12662</v>
      </c>
      <c r="B11" s="16" t="s">
        <v>1</v>
      </c>
      <c r="C11" s="16" t="s">
        <v>40</v>
      </c>
      <c r="D11" s="16" t="s">
        <v>41</v>
      </c>
      <c r="E11" s="10">
        <v>2</v>
      </c>
      <c r="F11" s="18">
        <f>LOG10(1.8*10^3)</f>
        <v>3.255272505103306</v>
      </c>
    </row>
    <row r="12" spans="1:6" x14ac:dyDescent="0.25">
      <c r="A12" s="16">
        <v>12662</v>
      </c>
      <c r="B12" s="16" t="s">
        <v>1</v>
      </c>
      <c r="C12" s="16" t="s">
        <v>40</v>
      </c>
      <c r="D12" s="16" t="s">
        <v>41</v>
      </c>
      <c r="E12" s="10">
        <v>4</v>
      </c>
      <c r="F12" s="18">
        <f>LOG10(1.9*10^3)</f>
        <v>3.2787536009528289</v>
      </c>
    </row>
    <row r="13" spans="1:6" x14ac:dyDescent="0.25">
      <c r="A13" s="16">
        <v>12662</v>
      </c>
      <c r="B13" s="16" t="s">
        <v>1</v>
      </c>
      <c r="C13" s="16" t="s">
        <v>40</v>
      </c>
      <c r="D13" s="16" t="s">
        <v>41</v>
      </c>
      <c r="E13" s="10">
        <v>6</v>
      </c>
      <c r="F13" s="18">
        <f>LOG10(2.5*10^3)</f>
        <v>3.3979400086720375</v>
      </c>
    </row>
    <row r="14" spans="1:6" x14ac:dyDescent="0.25">
      <c r="A14" s="16">
        <v>12662</v>
      </c>
      <c r="B14" s="16" t="s">
        <v>1</v>
      </c>
      <c r="C14" s="16" t="s">
        <v>40</v>
      </c>
      <c r="D14" s="16" t="s">
        <v>41</v>
      </c>
      <c r="E14" s="10">
        <v>8</v>
      </c>
      <c r="F14" s="18">
        <f>LOG10(2.65*10^3)</f>
        <v>3.4232458739368079</v>
      </c>
    </row>
    <row r="15" spans="1:6" x14ac:dyDescent="0.25">
      <c r="A15" s="16">
        <v>12662</v>
      </c>
      <c r="B15" s="16" t="s">
        <v>1</v>
      </c>
      <c r="C15" s="16" t="s">
        <v>40</v>
      </c>
      <c r="D15" s="16" t="s">
        <v>41</v>
      </c>
      <c r="E15" s="10">
        <v>10</v>
      </c>
      <c r="F15" s="18">
        <f>LOG10(4.85*10^3)</f>
        <v>3.6857417386022635</v>
      </c>
    </row>
    <row r="16" spans="1:6" x14ac:dyDescent="0.25">
      <c r="A16" s="16">
        <v>12662</v>
      </c>
      <c r="B16" s="16" t="s">
        <v>2</v>
      </c>
      <c r="C16" s="16" t="s">
        <v>40</v>
      </c>
      <c r="D16" s="16" t="s">
        <v>41</v>
      </c>
      <c r="E16" s="10">
        <v>0</v>
      </c>
      <c r="F16" s="18">
        <f>LOG10(2.07*10^4)</f>
        <v>4.3159703454569174</v>
      </c>
    </row>
    <row r="17" spans="1:6" x14ac:dyDescent="0.25">
      <c r="A17" s="16">
        <v>12662</v>
      </c>
      <c r="B17" s="16" t="s">
        <v>2</v>
      </c>
      <c r="C17" s="16" t="s">
        <v>40</v>
      </c>
      <c r="D17" s="16" t="s">
        <v>41</v>
      </c>
      <c r="E17" s="10">
        <v>1</v>
      </c>
      <c r="F17" s="18">
        <f>LOG10(9*10^3)</f>
        <v>3.9542425094393248</v>
      </c>
    </row>
    <row r="18" spans="1:6" x14ac:dyDescent="0.25">
      <c r="A18" s="16">
        <v>12662</v>
      </c>
      <c r="B18" s="16" t="s">
        <v>2</v>
      </c>
      <c r="C18" s="16" t="s">
        <v>40</v>
      </c>
      <c r="D18" s="16" t="s">
        <v>41</v>
      </c>
      <c r="E18" s="10">
        <v>2</v>
      </c>
      <c r="F18" s="18">
        <f>LOG10(4.7*10^3)</f>
        <v>3.6720978579357175</v>
      </c>
    </row>
    <row r="19" spans="1:6" x14ac:dyDescent="0.25">
      <c r="A19" s="16">
        <v>12662</v>
      </c>
      <c r="B19" s="16" t="s">
        <v>2</v>
      </c>
      <c r="C19" s="16" t="s">
        <v>40</v>
      </c>
      <c r="D19" s="16" t="s">
        <v>41</v>
      </c>
      <c r="E19" s="10">
        <v>4</v>
      </c>
      <c r="F19" s="18">
        <f>LOG10(1.03*10^4)</f>
        <v>4.012837224705172</v>
      </c>
    </row>
    <row r="20" spans="1:6" x14ac:dyDescent="0.25">
      <c r="A20" s="16">
        <v>12662</v>
      </c>
      <c r="B20" s="16" t="s">
        <v>2</v>
      </c>
      <c r="C20" s="16" t="s">
        <v>40</v>
      </c>
      <c r="D20" s="16" t="s">
        <v>41</v>
      </c>
      <c r="E20" s="10">
        <v>6</v>
      </c>
      <c r="F20" s="18">
        <f>LOG10(1.43*10^3)</f>
        <v>3.1553360374650619</v>
      </c>
    </row>
    <row r="21" spans="1:6" x14ac:dyDescent="0.25">
      <c r="A21" s="16">
        <v>12662</v>
      </c>
      <c r="B21" s="16" t="s">
        <v>2</v>
      </c>
      <c r="C21" s="16" t="s">
        <v>40</v>
      </c>
      <c r="D21" s="16" t="s">
        <v>41</v>
      </c>
      <c r="E21" s="10">
        <v>8</v>
      </c>
      <c r="F21" s="18">
        <f>LOG10(7.35*10^3)</f>
        <v>3.8662873390841948</v>
      </c>
    </row>
    <row r="22" spans="1:6" x14ac:dyDescent="0.25">
      <c r="A22" s="16">
        <v>12662</v>
      </c>
      <c r="B22" s="16" t="s">
        <v>2</v>
      </c>
      <c r="C22" s="16" t="s">
        <v>40</v>
      </c>
      <c r="D22" s="16" t="s">
        <v>41</v>
      </c>
      <c r="E22" s="10">
        <v>10</v>
      </c>
      <c r="F22" s="18">
        <f>LOG10(4.5*10^3)</f>
        <v>3.6532125137753435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5"/>
  <sheetViews>
    <sheetView zoomScale="90" zoomScaleNormal="90" workbookViewId="0"/>
  </sheetViews>
  <sheetFormatPr defaultRowHeight="15" x14ac:dyDescent="0.25"/>
  <cols>
    <col min="1" max="1" width="9.140625" style="8"/>
    <col min="2" max="3" width="9.85546875" style="8" customWidth="1"/>
    <col min="4" max="5" width="9.140625" style="8"/>
    <col min="6" max="6" width="13.28515625" bestFit="1" customWidth="1"/>
  </cols>
  <sheetData>
    <row r="1" spans="1:36" ht="24" customHeight="1" x14ac:dyDescent="0.25">
      <c r="A1" s="1" t="s">
        <v>6</v>
      </c>
      <c r="B1" s="5" t="s">
        <v>7</v>
      </c>
      <c r="C1" s="5" t="s">
        <v>8</v>
      </c>
      <c r="D1" s="7" t="s">
        <v>9</v>
      </c>
      <c r="E1" s="6"/>
      <c r="F1" s="2" t="s">
        <v>11</v>
      </c>
      <c r="G1" s="2" t="s">
        <v>12</v>
      </c>
      <c r="H1" s="2" t="s">
        <v>19</v>
      </c>
      <c r="I1" s="3"/>
      <c r="K1" s="3"/>
      <c r="L1" s="3"/>
      <c r="M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x14ac:dyDescent="0.25">
      <c r="A2" s="6">
        <v>0</v>
      </c>
      <c r="B2" s="6">
        <v>5.2944662261615933</v>
      </c>
      <c r="C2" s="6">
        <f t="shared" ref="C2:C21" si="0" xml:space="preserve"> LOG((10^$G$5 - 10^$G$4) * EXP(-$G$3 *A2 )  + 10^$G$4)</f>
        <v>5.5030774430359548</v>
      </c>
      <c r="D2" s="6">
        <f t="shared" ref="D2:D21" si="1" xml:space="preserve"> (B2 - C2)^2</f>
        <v>4.3518639805801874E-2</v>
      </c>
      <c r="E2" s="6"/>
      <c r="F2" s="3"/>
      <c r="G2" s="3"/>
      <c r="H2" s="3"/>
      <c r="I2" s="3"/>
      <c r="J2" s="3"/>
      <c r="K2" s="3"/>
      <c r="L2" s="4" t="s">
        <v>20</v>
      </c>
      <c r="M2" s="19">
        <v>7.7651678602719335E-2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A3" s="6">
        <v>1</v>
      </c>
      <c r="B3" s="6">
        <v>5.4771212547196626</v>
      </c>
      <c r="C3" s="6">
        <f t="shared" si="0"/>
        <v>4.9483366440328931</v>
      </c>
      <c r="D3" s="6">
        <f t="shared" si="1"/>
        <v>0.27961316449915841</v>
      </c>
      <c r="E3" s="6"/>
      <c r="F3" s="3" t="s">
        <v>13</v>
      </c>
      <c r="G3" s="19">
        <v>1.3461165128946628</v>
      </c>
      <c r="H3" s="19">
        <v>0.30649228371343307</v>
      </c>
      <c r="I3" s="3"/>
      <c r="J3" s="3"/>
      <c r="K3" s="3"/>
      <c r="L3" s="4" t="s">
        <v>23</v>
      </c>
      <c r="M3" s="19">
        <f>SQRT(M2)</f>
        <v>0.27866050779168428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x14ac:dyDescent="0.25">
      <c r="A4" s="6">
        <v>2</v>
      </c>
      <c r="B4" s="6">
        <v>4.6334684555795862</v>
      </c>
      <c r="C4" s="6">
        <f t="shared" si="0"/>
        <v>4.4625065823574239</v>
      </c>
      <c r="D4" s="6">
        <f t="shared" si="1"/>
        <v>2.9227962095630687E-2</v>
      </c>
      <c r="E4" s="6"/>
      <c r="F4" s="3" t="s">
        <v>24</v>
      </c>
      <c r="G4" s="19">
        <v>3.9018550276809614</v>
      </c>
      <c r="H4" s="19">
        <v>8.9755783393950739E-2</v>
      </c>
      <c r="I4" s="3"/>
      <c r="J4" s="3"/>
      <c r="K4" s="3"/>
      <c r="L4" s="4" t="s">
        <v>21</v>
      </c>
      <c r="M4" s="19">
        <v>0.84389580639808326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x14ac:dyDescent="0.25">
      <c r="A5" s="6">
        <v>4</v>
      </c>
      <c r="B5" s="6">
        <v>4</v>
      </c>
      <c r="C5" s="6">
        <f t="shared" si="0"/>
        <v>3.9732033102736968</v>
      </c>
      <c r="D5" s="6">
        <f t="shared" si="1"/>
        <v>7.1806258028776478E-4</v>
      </c>
      <c r="E5" s="6"/>
      <c r="F5" s="3" t="s">
        <v>14</v>
      </c>
      <c r="G5" s="19">
        <v>5.5030774430359539</v>
      </c>
      <c r="H5" s="19">
        <v>0.14783466590821498</v>
      </c>
      <c r="I5" s="3"/>
      <c r="J5" s="3"/>
      <c r="K5" s="3"/>
      <c r="L5" s="4" t="s">
        <v>22</v>
      </c>
      <c r="M5" s="19">
        <v>0.82553060715079885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x14ac:dyDescent="0.25">
      <c r="A6" s="6">
        <v>6</v>
      </c>
      <c r="B6" s="6">
        <v>3.6334684555795866</v>
      </c>
      <c r="C6" s="6">
        <f t="shared" si="0"/>
        <v>3.9070755161942499</v>
      </c>
      <c r="D6" s="6">
        <f t="shared" si="1"/>
        <v>7.4860823618196001E-2</v>
      </c>
      <c r="E6" s="6"/>
      <c r="F6" s="3"/>
      <c r="G6" s="3"/>
      <c r="H6" s="3"/>
      <c r="I6" s="3"/>
      <c r="J6" s="3"/>
      <c r="K6" s="3"/>
      <c r="L6" s="3"/>
      <c r="M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x14ac:dyDescent="0.25">
      <c r="A7" s="6">
        <v>8</v>
      </c>
      <c r="B7" s="6">
        <v>3.8836614351536176</v>
      </c>
      <c r="C7" s="6">
        <f t="shared" si="0"/>
        <v>3.9022105969833096</v>
      </c>
      <c r="D7" s="6">
        <f t="shared" si="1"/>
        <v>3.4407140458410335E-4</v>
      </c>
      <c r="E7" s="6"/>
      <c r="F7" s="2" t="s">
        <v>25</v>
      </c>
      <c r="G7" s="3"/>
      <c r="H7" s="3"/>
      <c r="I7" s="3"/>
      <c r="J7" s="3"/>
      <c r="K7" s="3"/>
      <c r="L7" s="3"/>
      <c r="M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x14ac:dyDescent="0.25">
      <c r="A8" s="6">
        <v>10</v>
      </c>
      <c r="B8" s="6">
        <v>3.9370161074648142</v>
      </c>
      <c r="C8" s="6">
        <f t="shared" si="0"/>
        <v>3.9018791194151814</v>
      </c>
      <c r="D8" s="6">
        <f t="shared" si="1"/>
        <v>1.2346079292000405E-3</v>
      </c>
      <c r="E8" s="6"/>
      <c r="F8" s="3" t="s">
        <v>29</v>
      </c>
      <c r="G8" s="3"/>
      <c r="H8" s="3"/>
      <c r="I8" s="3"/>
      <c r="J8" s="3"/>
      <c r="K8" s="3"/>
      <c r="L8" s="3"/>
      <c r="M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x14ac:dyDescent="0.25">
      <c r="A9" s="6">
        <v>0</v>
      </c>
      <c r="B9" s="6">
        <v>5.4313637641589869</v>
      </c>
      <c r="C9" s="6">
        <f t="shared" si="0"/>
        <v>5.5030774430359548</v>
      </c>
      <c r="D9" s="6">
        <f t="shared" si="1"/>
        <v>5.1428517380688703E-3</v>
      </c>
      <c r="E9" s="6"/>
      <c r="F9" s="2" t="s">
        <v>28</v>
      </c>
      <c r="G9" s="3"/>
      <c r="H9" s="3"/>
      <c r="I9" s="3"/>
      <c r="J9" s="3"/>
      <c r="K9" s="3"/>
      <c r="L9" s="3"/>
      <c r="M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x14ac:dyDescent="0.25">
      <c r="A10" s="6">
        <v>1</v>
      </c>
      <c r="B10" s="6">
        <v>4.9190780923760737</v>
      </c>
      <c r="C10" s="6">
        <f t="shared" si="0"/>
        <v>4.9483366440328931</v>
      </c>
      <c r="D10" s="6">
        <f t="shared" si="1"/>
        <v>8.5606284505476595E-4</v>
      </c>
      <c r="E10" s="6"/>
      <c r="F10" s="3" t="s">
        <v>30</v>
      </c>
      <c r="G10" s="3"/>
      <c r="H10" s="3"/>
      <c r="I10" s="3"/>
      <c r="J10" s="3"/>
      <c r="K10" s="3"/>
      <c r="L10" s="3"/>
      <c r="M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x14ac:dyDescent="0.25">
      <c r="A11" s="6">
        <v>2</v>
      </c>
      <c r="B11" s="6">
        <v>3.7993405494535817</v>
      </c>
      <c r="C11" s="6">
        <f t="shared" si="0"/>
        <v>4.4625065823574239</v>
      </c>
      <c r="D11" s="6">
        <f t="shared" si="1"/>
        <v>0.43978918719742</v>
      </c>
      <c r="E11" s="6"/>
      <c r="F11" s="2" t="s">
        <v>26</v>
      </c>
      <c r="G11" s="3"/>
      <c r="H11" s="3"/>
      <c r="I11" s="3"/>
      <c r="J11" s="3"/>
      <c r="K11" s="3"/>
      <c r="L11" s="3"/>
      <c r="M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x14ac:dyDescent="0.25">
      <c r="A12" s="6">
        <v>5</v>
      </c>
      <c r="B12" s="6">
        <v>3.6720978579357175</v>
      </c>
      <c r="C12" s="6">
        <f t="shared" si="0"/>
        <v>3.921580833046912</v>
      </c>
      <c r="D12" s="6">
        <f t="shared" si="1"/>
        <v>6.2241754870332865E-2</v>
      </c>
      <c r="E12" s="6"/>
      <c r="F12" s="24" t="s">
        <v>27</v>
      </c>
      <c r="G12" s="25"/>
      <c r="H12" s="25"/>
      <c r="I12" s="25"/>
      <c r="J12" s="25"/>
      <c r="K12" s="25"/>
      <c r="L12" s="25"/>
      <c r="M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x14ac:dyDescent="0.25">
      <c r="A13" s="6">
        <v>8</v>
      </c>
      <c r="B13" s="6">
        <v>4.0472748673841794</v>
      </c>
      <c r="C13" s="6">
        <f t="shared" si="0"/>
        <v>3.9022105969833096</v>
      </c>
      <c r="D13" s="6">
        <f t="shared" si="1"/>
        <v>2.1043642546936664E-2</v>
      </c>
      <c r="E13" s="6"/>
      <c r="F13" s="25"/>
      <c r="G13" s="25"/>
      <c r="H13" s="25"/>
      <c r="I13" s="25"/>
      <c r="J13" s="25"/>
      <c r="K13" s="25"/>
      <c r="L13" s="25"/>
      <c r="M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x14ac:dyDescent="0.25">
      <c r="A14" s="6">
        <v>10</v>
      </c>
      <c r="B14" s="6">
        <v>3.7520484478194387</v>
      </c>
      <c r="C14" s="6">
        <f t="shared" si="0"/>
        <v>3.9018791194151814</v>
      </c>
      <c r="D14" s="6">
        <f t="shared" si="1"/>
        <v>2.2449230150831299E-2</v>
      </c>
      <c r="E14" s="6"/>
      <c r="F14" s="25"/>
      <c r="G14" s="25"/>
      <c r="H14" s="25"/>
      <c r="I14" s="25"/>
      <c r="J14" s="25"/>
      <c r="K14" s="25"/>
      <c r="L14" s="25"/>
      <c r="M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x14ac:dyDescent="0.25">
      <c r="A15" s="6">
        <v>0</v>
      </c>
      <c r="B15" s="6">
        <v>5.7242758696007892</v>
      </c>
      <c r="C15" s="6">
        <f t="shared" si="0"/>
        <v>5.5030774430359548</v>
      </c>
      <c r="D15" s="6">
        <f t="shared" si="1"/>
        <v>4.8928743914758412E-2</v>
      </c>
      <c r="E15" s="6"/>
      <c r="F15" s="3"/>
      <c r="G15" s="3"/>
      <c r="H15" s="3"/>
      <c r="I15" s="3"/>
      <c r="J15" s="3"/>
      <c r="K15" s="3"/>
      <c r="L15" s="3"/>
      <c r="M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x14ac:dyDescent="0.25">
      <c r="A16" s="6">
        <v>1</v>
      </c>
      <c r="B16" s="6">
        <v>4.6334684555795862</v>
      </c>
      <c r="C16" s="6">
        <f t="shared" si="0"/>
        <v>4.9483366440328931</v>
      </c>
      <c r="D16" s="6">
        <f t="shared" si="1"/>
        <v>9.9141976099867177E-2</v>
      </c>
      <c r="E16" s="6"/>
      <c r="F16" s="3"/>
      <c r="G16" s="3"/>
      <c r="H16" s="3"/>
      <c r="I16" s="3"/>
      <c r="J16" s="3"/>
      <c r="K16" s="3"/>
      <c r="L16" s="3"/>
      <c r="M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x14ac:dyDescent="0.25">
      <c r="A17" s="6">
        <v>2</v>
      </c>
      <c r="B17" s="6">
        <v>4.7558748556724915</v>
      </c>
      <c r="C17" s="6">
        <f t="shared" si="0"/>
        <v>4.4625065823574239</v>
      </c>
      <c r="D17" s="6">
        <f t="shared" si="1"/>
        <v>8.6064943787864168E-2</v>
      </c>
      <c r="E17" s="6"/>
      <c r="F17" s="3"/>
      <c r="G17" s="3"/>
      <c r="H17" s="3"/>
      <c r="I17" s="3"/>
      <c r="J17" s="3"/>
      <c r="K17" s="3"/>
      <c r="L17" s="3"/>
      <c r="M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 x14ac:dyDescent="0.25">
      <c r="A18" s="6">
        <v>4</v>
      </c>
      <c r="B18" s="6">
        <v>4.2552725051033065</v>
      </c>
      <c r="C18" s="6">
        <f t="shared" si="0"/>
        <v>3.9732033102736968</v>
      </c>
      <c r="D18" s="6">
        <f t="shared" si="1"/>
        <v>7.9563030671824311E-2</v>
      </c>
      <c r="E18" s="6"/>
      <c r="F18" s="3"/>
      <c r="G18" s="3"/>
      <c r="H18" s="3"/>
      <c r="I18" s="3"/>
      <c r="J18" s="3"/>
      <c r="K18" s="3"/>
      <c r="L18" s="3"/>
      <c r="M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1:36" x14ac:dyDescent="0.25">
      <c r="A19" s="6">
        <v>6</v>
      </c>
      <c r="B19" s="6">
        <v>4</v>
      </c>
      <c r="C19" s="6">
        <f t="shared" si="0"/>
        <v>3.9070755161942499</v>
      </c>
      <c r="D19" s="6">
        <f t="shared" si="1"/>
        <v>8.6349596905651183E-3</v>
      </c>
      <c r="E19" s="6"/>
      <c r="F19" s="3"/>
      <c r="G19" s="3"/>
      <c r="H19" s="3"/>
      <c r="I19" s="3"/>
      <c r="J19" s="3"/>
      <c r="K19" s="3"/>
      <c r="L19" s="3"/>
      <c r="M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x14ac:dyDescent="0.25">
      <c r="A20" s="6">
        <v>8</v>
      </c>
      <c r="B20" s="6">
        <v>3.9934362304976116</v>
      </c>
      <c r="C20" s="6">
        <f t="shared" si="0"/>
        <v>3.9022105969833096</v>
      </c>
      <c r="D20" s="6">
        <f t="shared" si="1"/>
        <v>8.3221162100857431E-3</v>
      </c>
      <c r="E20" s="6"/>
      <c r="F20" s="3"/>
      <c r="G20" s="3"/>
      <c r="H20" s="3"/>
      <c r="I20" s="3"/>
      <c r="J20" s="3"/>
      <c r="K20" s="3"/>
      <c r="L20" s="3"/>
      <c r="M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x14ac:dyDescent="0.25">
      <c r="A21" s="6">
        <v>10</v>
      </c>
      <c r="B21" s="6">
        <v>3.9934362304976116</v>
      </c>
      <c r="C21" s="6">
        <f t="shared" si="0"/>
        <v>3.9018791194151814</v>
      </c>
      <c r="D21" s="6">
        <f t="shared" si="1"/>
        <v>8.3827045897604726E-3</v>
      </c>
      <c r="E21" s="6"/>
      <c r="F21" s="3"/>
      <c r="G21" s="3"/>
      <c r="H21" s="3"/>
      <c r="I21" s="3"/>
      <c r="J21" s="3"/>
      <c r="K21" s="3"/>
      <c r="L21" s="3"/>
      <c r="M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1:36" x14ac:dyDescent="0.25">
      <c r="A22" s="7" t="s">
        <v>10</v>
      </c>
      <c r="B22" s="6"/>
      <c r="C22" s="6"/>
      <c r="D22" s="6">
        <f>SUM(D2:D21)</f>
        <v>1.3200785362462286</v>
      </c>
      <c r="E22" s="6"/>
      <c r="F22" s="3"/>
      <c r="G22" s="3"/>
      <c r="H22" s="3"/>
      <c r="I22" s="3"/>
      <c r="J22" s="3"/>
      <c r="K22" s="3"/>
      <c r="L22" s="3"/>
      <c r="M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x14ac:dyDescent="0.25">
      <c r="A23" s="6"/>
      <c r="B23" s="6"/>
      <c r="C23" s="6"/>
      <c r="D23" s="6"/>
      <c r="E23" s="6"/>
      <c r="F23" s="3"/>
      <c r="G23" s="3"/>
      <c r="H23" s="3"/>
      <c r="I23" s="3"/>
      <c r="J23" s="3"/>
      <c r="K23" s="3"/>
      <c r="L23" s="3"/>
      <c r="M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x14ac:dyDescent="0.25">
      <c r="A24" s="6"/>
      <c r="B24" s="6"/>
      <c r="C24" s="6"/>
      <c r="D24" s="6"/>
      <c r="E24" s="6"/>
      <c r="F24" s="3"/>
      <c r="G24" s="3"/>
      <c r="H24" s="3"/>
      <c r="I24" s="3"/>
      <c r="J24" s="3"/>
      <c r="K24" s="3"/>
      <c r="L24" s="3"/>
      <c r="M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1:36" x14ac:dyDescent="0.25">
      <c r="A25" s="17">
        <v>0</v>
      </c>
      <c r="B25" s="17"/>
      <c r="C25" s="17">
        <f xml:space="preserve"> LOG((10^$G$5 - 10^$G$4) * EXP(-$G$3 *A25 )  + 10^$G$4)</f>
        <v>5.5030774430359548</v>
      </c>
      <c r="D25" s="6"/>
      <c r="E25" s="6"/>
      <c r="F25" s="3"/>
      <c r="G25" s="3"/>
      <c r="H25" s="3"/>
      <c r="I25" s="3"/>
      <c r="J25" s="3"/>
      <c r="K25" s="3"/>
      <c r="L25" s="3"/>
      <c r="M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x14ac:dyDescent="0.25">
      <c r="A26" s="17">
        <v>0.1</v>
      </c>
      <c r="B26" s="17"/>
      <c r="C26" s="17">
        <f t="shared" ref="C26:C89" si="2" xml:space="preserve"> LOG((10^$G$5 - 10^$G$4) * EXP(-$G$3 *A26 )  + 10^$G$4)</f>
        <v>5.4461810071182528</v>
      </c>
      <c r="D26" s="6"/>
      <c r="E26" s="6"/>
      <c r="F26" s="3"/>
      <c r="G26" s="3"/>
      <c r="H26" s="3"/>
      <c r="I26" s="3"/>
      <c r="J26" s="3"/>
      <c r="K26" s="3"/>
      <c r="L26" s="3"/>
      <c r="M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x14ac:dyDescent="0.25">
      <c r="A27" s="17">
        <v>0.2</v>
      </c>
      <c r="B27" s="17"/>
      <c r="C27" s="17">
        <f t="shared" si="2"/>
        <v>5.3895031401674487</v>
      </c>
      <c r="D27" s="6"/>
      <c r="E27" s="6"/>
      <c r="F27" s="3"/>
      <c r="G27" s="3"/>
      <c r="H27" s="3"/>
      <c r="I27" s="3"/>
      <c r="J27" s="3"/>
      <c r="K27" s="3"/>
      <c r="L27" s="3"/>
      <c r="M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x14ac:dyDescent="0.25">
      <c r="A28" s="17">
        <v>0.30000000000000004</v>
      </c>
      <c r="B28" s="17"/>
      <c r="C28" s="17">
        <f t="shared" si="2"/>
        <v>5.3330732827724114</v>
      </c>
      <c r="D28" s="6"/>
      <c r="E28" s="6"/>
      <c r="F28" s="3"/>
      <c r="G28" s="3"/>
      <c r="H28" s="3"/>
      <c r="I28" s="3"/>
      <c r="J28" s="3"/>
      <c r="K28" s="3"/>
      <c r="L28" s="3"/>
      <c r="M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</row>
    <row r="29" spans="1:36" x14ac:dyDescent="0.25">
      <c r="A29" s="17">
        <v>0.4</v>
      </c>
      <c r="B29" s="17"/>
      <c r="C29" s="17">
        <f t="shared" si="2"/>
        <v>5.2769245186736349</v>
      </c>
      <c r="D29" s="6"/>
      <c r="E29" s="6"/>
      <c r="F29" s="3"/>
      <c r="G29" s="3"/>
      <c r="H29" s="3"/>
      <c r="I29" s="3"/>
      <c r="J29" s="3"/>
      <c r="K29" s="3"/>
      <c r="L29" s="3"/>
      <c r="M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36" x14ac:dyDescent="0.25">
      <c r="A30" s="17">
        <v>0.5</v>
      </c>
      <c r="B30" s="17"/>
      <c r="C30" s="17">
        <f t="shared" si="2"/>
        <v>5.2210939312764237</v>
      </c>
      <c r="D30" s="6"/>
      <c r="E30" s="6"/>
      <c r="F30" s="3"/>
      <c r="G30" s="3"/>
      <c r="H30" s="3"/>
      <c r="I30" s="3"/>
      <c r="J30" s="3"/>
      <c r="K30" s="3"/>
      <c r="L30" s="3"/>
      <c r="M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x14ac:dyDescent="0.25">
      <c r="A31" s="17">
        <v>0.6</v>
      </c>
      <c r="B31" s="17"/>
      <c r="C31" s="17">
        <f t="shared" si="2"/>
        <v>5.1656229671004628</v>
      </c>
      <c r="D31" s="6"/>
      <c r="E31" s="6"/>
      <c r="F31" s="3"/>
      <c r="G31" s="3"/>
      <c r="H31" s="3"/>
      <c r="I31" s="3"/>
      <c r="J31" s="3"/>
      <c r="K31" s="3"/>
      <c r="L31" s="3"/>
      <c r="M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x14ac:dyDescent="0.25">
      <c r="A32" s="17">
        <v>0.7</v>
      </c>
      <c r="B32" s="17"/>
      <c r="C32" s="17">
        <f t="shared" si="2"/>
        <v>5.1105577967822589</v>
      </c>
      <c r="D32" s="6"/>
      <c r="E32" s="6"/>
      <c r="F32" s="3"/>
      <c r="G32" s="3"/>
      <c r="H32" s="3"/>
      <c r="I32" s="3"/>
      <c r="J32" s="3"/>
      <c r="K32" s="3"/>
      <c r="L32" s="3"/>
      <c r="M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spans="1:36" x14ac:dyDescent="0.25">
      <c r="A33" s="17">
        <v>0.79999999999999993</v>
      </c>
      <c r="B33" s="17"/>
      <c r="C33" s="17">
        <f t="shared" si="2"/>
        <v>5.055949661072483</v>
      </c>
      <c r="D33" s="6"/>
      <c r="E33" s="6"/>
      <c r="F33" s="3"/>
      <c r="G33" s="3"/>
      <c r="H33" s="3"/>
      <c r="I33" s="3"/>
      <c r="J33" s="3"/>
      <c r="K33" s="3"/>
      <c r="L33" s="3"/>
      <c r="M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6" x14ac:dyDescent="0.25">
      <c r="A34" s="17">
        <v>0.89999999999999991</v>
      </c>
      <c r="B34" s="17"/>
      <c r="C34" s="17">
        <f t="shared" si="2"/>
        <v>5.0018551855949003</v>
      </c>
      <c r="D34" s="6"/>
      <c r="E34" s="6"/>
      <c r="F34" s="3"/>
      <c r="G34" s="3"/>
      <c r="H34" s="3"/>
      <c r="I34" s="3"/>
      <c r="J34" s="3"/>
      <c r="K34" s="3"/>
      <c r="L34" s="3"/>
      <c r="M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25">
      <c r="A35" s="17">
        <v>0.99999999999999989</v>
      </c>
      <c r="B35" s="17"/>
      <c r="C35" s="17">
        <f t="shared" si="2"/>
        <v>4.9483366440328931</v>
      </c>
      <c r="D35" s="6"/>
      <c r="E35" s="6"/>
      <c r="F35" s="3"/>
      <c r="G35" s="3"/>
      <c r="H35" s="3"/>
      <c r="I35" s="3"/>
      <c r="J35" s="3"/>
      <c r="K35" s="3"/>
      <c r="L35" s="3"/>
      <c r="M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spans="1:36" x14ac:dyDescent="0.25">
      <c r="A36" s="17">
        <v>1.0999999999999999</v>
      </c>
      <c r="B36" s="17"/>
      <c r="C36" s="17">
        <f t="shared" si="2"/>
        <v>4.8954621450455011</v>
      </c>
      <c r="D36" s="6"/>
      <c r="E36" s="6"/>
      <c r="F36" s="3"/>
      <c r="G36" s="3"/>
      <c r="H36" s="3"/>
      <c r="I36" s="3"/>
      <c r="J36" s="3"/>
      <c r="K36" s="3"/>
      <c r="L36" s="3"/>
      <c r="M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x14ac:dyDescent="0.25">
      <c r="A37" s="17">
        <v>1.2</v>
      </c>
      <c r="B37" s="17"/>
      <c r="C37" s="17">
        <f t="shared" si="2"/>
        <v>4.8433057138639173</v>
      </c>
      <c r="D37" s="6"/>
      <c r="E37" s="6"/>
      <c r="F37" s="3"/>
      <c r="G37" s="3"/>
      <c r="H37" s="3"/>
      <c r="I37" s="3"/>
      <c r="J37" s="3"/>
      <c r="K37" s="3"/>
      <c r="L37" s="3"/>
      <c r="M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x14ac:dyDescent="0.25">
      <c r="A38" s="17">
        <v>1.3</v>
      </c>
      <c r="B38" s="17"/>
      <c r="C38" s="17">
        <f t="shared" si="2"/>
        <v>4.7919472355992516</v>
      </c>
      <c r="D38" s="6"/>
      <c r="E38" s="6"/>
      <c r="F38" s="3"/>
      <c r="G38" s="3"/>
      <c r="H38" s="3"/>
      <c r="I38" s="3"/>
      <c r="J38" s="3"/>
      <c r="K38" s="3"/>
      <c r="L38" s="3"/>
      <c r="M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pans="1:36" x14ac:dyDescent="0.25">
      <c r="A39" s="17">
        <v>1.4000000000000001</v>
      </c>
      <c r="B39" s="17"/>
      <c r="C39" s="17">
        <f t="shared" si="2"/>
        <v>4.7414722243812362</v>
      </c>
      <c r="D39" s="6"/>
      <c r="E39" s="6"/>
      <c r="F39" s="3"/>
      <c r="G39" s="3"/>
      <c r="H39" s="3"/>
      <c r="I39" s="3"/>
      <c r="J39" s="3"/>
      <c r="K39" s="3"/>
      <c r="L39" s="3"/>
      <c r="M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1:36" x14ac:dyDescent="0.25">
      <c r="A40" s="17">
        <v>1.5000000000000002</v>
      </c>
      <c r="B40" s="17"/>
      <c r="C40" s="17">
        <f t="shared" si="2"/>
        <v>4.6919713812838939</v>
      </c>
      <c r="D40" s="6"/>
      <c r="E40" s="6"/>
      <c r="F40" s="3"/>
      <c r="G40" s="3"/>
      <c r="H40" s="3"/>
      <c r="I40" s="3"/>
      <c r="J40" s="3"/>
      <c r="K40" s="3"/>
      <c r="L40" s="3"/>
      <c r="M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6" x14ac:dyDescent="0.25">
      <c r="A41" s="17">
        <v>1.6000000000000003</v>
      </c>
      <c r="B41" s="17"/>
      <c r="C41" s="17">
        <f t="shared" si="2"/>
        <v>4.6435399054475974</v>
      </c>
      <c r="D41" s="6"/>
      <c r="E41" s="6"/>
      <c r="F41" s="3"/>
      <c r="G41" s="3"/>
      <c r="H41" s="3"/>
      <c r="I41" s="3"/>
      <c r="J41" s="3"/>
      <c r="K41" s="3"/>
      <c r="L41" s="3"/>
      <c r="M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1:36" x14ac:dyDescent="0.25">
      <c r="A42" s="17">
        <v>1.7000000000000004</v>
      </c>
      <c r="B42" s="17"/>
      <c r="C42" s="17">
        <f t="shared" si="2"/>
        <v>4.5962765278029378</v>
      </c>
      <c r="D42" s="6"/>
      <c r="E42" s="6"/>
      <c r="F42" s="3"/>
      <c r="G42" s="3"/>
      <c r="H42" s="3"/>
      <c r="I42" s="3"/>
      <c r="J42" s="3"/>
      <c r="K42" s="3"/>
      <c r="L42" s="3"/>
      <c r="M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spans="1:36" x14ac:dyDescent="0.25">
      <c r="A43" s="17">
        <v>1.8000000000000005</v>
      </c>
      <c r="B43" s="17"/>
      <c r="C43" s="17">
        <f t="shared" si="2"/>
        <v>4.5502822461924834</v>
      </c>
      <c r="D43" s="6"/>
      <c r="E43" s="6"/>
      <c r="F43" s="3"/>
      <c r="G43" s="3"/>
      <c r="H43" s="3"/>
      <c r="I43" s="3"/>
      <c r="J43" s="3"/>
      <c r="K43" s="3"/>
      <c r="L43" s="3"/>
      <c r="M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</row>
    <row r="44" spans="1:36" x14ac:dyDescent="0.25">
      <c r="A44" s="17">
        <v>1.905</v>
      </c>
      <c r="B44" s="17"/>
      <c r="C44" s="17">
        <f t="shared" si="2"/>
        <v>4.5034653772630024</v>
      </c>
      <c r="D44" s="6"/>
      <c r="E44" s="6"/>
      <c r="F44" s="3"/>
      <c r="G44" s="3"/>
      <c r="H44" s="3"/>
      <c r="I44" s="3"/>
      <c r="J44" s="3"/>
      <c r="K44" s="3"/>
      <c r="L44" s="3"/>
      <c r="M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</row>
    <row r="45" spans="1:36" x14ac:dyDescent="0.25">
      <c r="A45" s="17">
        <v>2.0000000000000004</v>
      </c>
      <c r="B45" s="17"/>
      <c r="C45" s="17">
        <f t="shared" si="2"/>
        <v>4.4625065823574239</v>
      </c>
      <c r="D45" s="6"/>
      <c r="E45" s="6"/>
      <c r="F45" s="3"/>
      <c r="G45" s="3"/>
      <c r="H45" s="3"/>
      <c r="I45" s="3"/>
      <c r="J45" s="3"/>
      <c r="K45" s="3"/>
      <c r="L45" s="3"/>
      <c r="M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</row>
    <row r="46" spans="1:36" x14ac:dyDescent="0.25">
      <c r="A46" s="17">
        <v>2.1000000000000005</v>
      </c>
      <c r="B46" s="17"/>
      <c r="C46" s="17">
        <f t="shared" si="2"/>
        <v>4.4209229701440895</v>
      </c>
      <c r="D46" s="6"/>
      <c r="E46" s="6"/>
      <c r="F46" s="3"/>
      <c r="G46" s="3"/>
      <c r="H46" s="3"/>
      <c r="I46" s="3"/>
      <c r="J46" s="3"/>
      <c r="K46" s="3"/>
      <c r="L46" s="3"/>
      <c r="M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</row>
    <row r="47" spans="1:36" x14ac:dyDescent="0.25">
      <c r="A47" s="17">
        <v>2.2000000000000006</v>
      </c>
      <c r="B47" s="17"/>
      <c r="C47" s="17">
        <f t="shared" si="2"/>
        <v>4.380999562285953</v>
      </c>
      <c r="D47" s="6"/>
      <c r="E47" s="6"/>
      <c r="F47" s="3"/>
      <c r="G47" s="3"/>
      <c r="H47" s="3"/>
      <c r="I47" s="3"/>
      <c r="J47" s="3"/>
      <c r="K47" s="3"/>
      <c r="L47" s="3"/>
      <c r="M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</row>
    <row r="48" spans="1:36" x14ac:dyDescent="0.25">
      <c r="A48" s="17">
        <v>2.3000000000000007</v>
      </c>
      <c r="B48" s="17"/>
      <c r="C48" s="17">
        <f t="shared" si="2"/>
        <v>4.3428199895661512</v>
      </c>
      <c r="D48" s="6"/>
      <c r="E48" s="6"/>
      <c r="F48" s="3"/>
      <c r="G48" s="3"/>
      <c r="H48" s="3"/>
      <c r="I48" s="3"/>
      <c r="J48" s="3"/>
      <c r="K48" s="3"/>
      <c r="L48" s="3"/>
      <c r="M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</row>
    <row r="49" spans="1:36" x14ac:dyDescent="0.25">
      <c r="A49" s="17">
        <v>2.4000000000000008</v>
      </c>
      <c r="B49" s="17"/>
      <c r="C49" s="17">
        <f t="shared" si="2"/>
        <v>4.3064574666880899</v>
      </c>
      <c r="D49" s="6"/>
      <c r="E49" s="6"/>
      <c r="F49" s="3"/>
      <c r="G49" s="3"/>
      <c r="H49" s="3"/>
      <c r="I49" s="3"/>
      <c r="J49" s="3"/>
      <c r="K49" s="3"/>
      <c r="L49" s="3"/>
      <c r="M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</row>
    <row r="50" spans="1:36" x14ac:dyDescent="0.25">
      <c r="A50" s="17">
        <v>2.5000000000000009</v>
      </c>
      <c r="B50" s="17"/>
      <c r="C50" s="17">
        <f t="shared" si="2"/>
        <v>4.2719725326603202</v>
      </c>
      <c r="D50" s="6"/>
      <c r="E50" s="6"/>
      <c r="F50" s="3"/>
      <c r="G50" s="3"/>
      <c r="H50" s="3"/>
      <c r="I50" s="3"/>
      <c r="J50" s="3"/>
      <c r="K50" s="3"/>
      <c r="L50" s="3"/>
      <c r="M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</row>
    <row r="51" spans="1:36" x14ac:dyDescent="0.25">
      <c r="A51" s="17">
        <v>2.600000000000001</v>
      </c>
      <c r="B51" s="17"/>
      <c r="C51" s="17">
        <f t="shared" si="2"/>
        <v>4.2394110725829721</v>
      </c>
      <c r="D51" s="6"/>
      <c r="E51" s="6"/>
      <c r="F51" s="3"/>
      <c r="G51" s="3"/>
      <c r="H51" s="3"/>
      <c r="I51" s="3"/>
      <c r="J51" s="3"/>
      <c r="K51" s="3"/>
      <c r="L51" s="3"/>
      <c r="M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</row>
    <row r="52" spans="1:36" x14ac:dyDescent="0.25">
      <c r="A52" s="17">
        <v>2.7000000000000011</v>
      </c>
      <c r="B52" s="17"/>
      <c r="C52" s="17">
        <f t="shared" si="2"/>
        <v>4.2088027521169797</v>
      </c>
      <c r="D52" s="6"/>
      <c r="E52" s="6"/>
      <c r="F52" s="3"/>
      <c r="G52" s="3"/>
      <c r="H52" s="3"/>
      <c r="I52" s="3"/>
      <c r="J52" s="3"/>
      <c r="K52" s="3"/>
      <c r="L52" s="3"/>
      <c r="M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</row>
    <row r="53" spans="1:36" x14ac:dyDescent="0.25">
      <c r="A53" s="17">
        <v>2.8000000000000012</v>
      </c>
      <c r="B53" s="17"/>
      <c r="C53" s="17">
        <f t="shared" si="2"/>
        <v>4.1801599749937886</v>
      </c>
      <c r="D53" s="6"/>
      <c r="E53" s="6"/>
      <c r="F53" s="3"/>
      <c r="G53" s="3"/>
      <c r="H53" s="3"/>
      <c r="I53" s="3"/>
      <c r="J53" s="3"/>
      <c r="K53" s="3"/>
      <c r="L53" s="3"/>
      <c r="M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1:36" x14ac:dyDescent="0.25">
      <c r="A54" s="17">
        <v>2.9000000000000012</v>
      </c>
      <c r="B54" s="17"/>
      <c r="C54" s="17">
        <f t="shared" si="2"/>
        <v>4.1534774400708327</v>
      </c>
      <c r="D54" s="6"/>
      <c r="E54" s="6"/>
      <c r="F54" s="3"/>
      <c r="G54" s="3"/>
      <c r="H54" s="3"/>
      <c r="I54" s="3"/>
      <c r="J54" s="3"/>
      <c r="K54" s="3"/>
      <c r="L54" s="3"/>
      <c r="M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1:36" x14ac:dyDescent="0.25">
      <c r="A55" s="17">
        <v>3.0000000000000013</v>
      </c>
      <c r="B55" s="17"/>
      <c r="C55" s="17">
        <f t="shared" si="2"/>
        <v>4.1287323311478392</v>
      </c>
      <c r="D55" s="6"/>
      <c r="E55" s="6"/>
      <c r="F55" s="3"/>
      <c r="G55" s="3"/>
      <c r="H55" s="3"/>
      <c r="I55" s="3"/>
      <c r="J55" s="3"/>
      <c r="K55" s="3"/>
      <c r="L55" s="3"/>
      <c r="M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 x14ac:dyDescent="0.25">
      <c r="A56" s="17">
        <v>3.1000000000000014</v>
      </c>
      <c r="B56" s="17"/>
      <c r="C56" s="17">
        <f t="shared" si="2"/>
        <v>4.1058851252590989</v>
      </c>
      <c r="D56" s="6"/>
      <c r="E56" s="6"/>
      <c r="F56" s="3"/>
      <c r="G56" s="3"/>
      <c r="H56" s="3"/>
      <c r="I56" s="3"/>
      <c r="J56" s="3"/>
      <c r="K56" s="3"/>
      <c r="L56" s="3"/>
      <c r="M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 x14ac:dyDescent="0.25">
      <c r="A57" s="17">
        <v>3.2000000000000015</v>
      </c>
      <c r="B57" s="17"/>
      <c r="C57" s="17">
        <f t="shared" si="2"/>
        <v>4.0848809594754671</v>
      </c>
      <c r="D57" s="6"/>
      <c r="E57" s="6"/>
      <c r="F57" s="3"/>
      <c r="G57" s="3"/>
      <c r="H57" s="3"/>
      <c r="I57" s="3"/>
      <c r="J57" s="3"/>
      <c r="K57" s="3"/>
      <c r="L57" s="3"/>
      <c r="M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 x14ac:dyDescent="0.25">
      <c r="A58" s="17">
        <v>3.3000000000000016</v>
      </c>
      <c r="B58" s="17"/>
      <c r="C58" s="17">
        <f t="shared" si="2"/>
        <v>4.0656514580678218</v>
      </c>
      <c r="D58" s="6"/>
      <c r="E58" s="6"/>
      <c r="F58" s="3"/>
      <c r="G58" s="3"/>
      <c r="H58" s="3"/>
      <c r="I58" s="3"/>
      <c r="J58" s="3"/>
      <c r="K58" s="3"/>
      <c r="L58" s="3"/>
      <c r="M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36" x14ac:dyDescent="0.25">
      <c r="A59" s="17">
        <v>3.4000000000000017</v>
      </c>
      <c r="B59" s="17"/>
      <c r="C59" s="17">
        <f t="shared" si="2"/>
        <v>4.0481168954787261</v>
      </c>
      <c r="D59" s="6"/>
      <c r="E59" s="6"/>
      <c r="F59" s="3"/>
      <c r="G59" s="3"/>
      <c r="H59" s="3"/>
      <c r="I59" s="3"/>
      <c r="J59" s="3"/>
      <c r="K59" s="3"/>
      <c r="L59" s="3"/>
      <c r="M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 x14ac:dyDescent="0.25">
      <c r="A60" s="17">
        <v>3.5000000000000018</v>
      </c>
      <c r="B60" s="17"/>
      <c r="C60" s="17">
        <f t="shared" si="2"/>
        <v>4.0321885581035319</v>
      </c>
      <c r="D60" s="6"/>
      <c r="E60" s="6"/>
      <c r="F60" s="3"/>
      <c r="G60" s="3"/>
      <c r="H60" s="3"/>
      <c r="I60" s="3"/>
      <c r="J60" s="3"/>
      <c r="K60" s="3"/>
      <c r="L60" s="3"/>
      <c r="M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1:36" x14ac:dyDescent="0.25">
      <c r="A61" s="17">
        <v>3.6000000000000019</v>
      </c>
      <c r="B61" s="17"/>
      <c r="C61" s="17">
        <f t="shared" si="2"/>
        <v>4.0177711693026534</v>
      </c>
      <c r="D61" s="6"/>
      <c r="E61" s="6"/>
      <c r="F61" s="3"/>
      <c r="G61" s="3"/>
      <c r="H61" s="3"/>
      <c r="I61" s="3"/>
      <c r="J61" s="3"/>
      <c r="K61" s="3"/>
      <c r="L61" s="3"/>
      <c r="M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spans="1:36" x14ac:dyDescent="0.25">
      <c r="A62" s="17">
        <v>3.700000000000002</v>
      </c>
      <c r="B62" s="17"/>
      <c r="C62" s="17">
        <f t="shared" si="2"/>
        <v>4.0047652552999597</v>
      </c>
      <c r="D62" s="6"/>
      <c r="E62" s="6"/>
      <c r="F62" s="3"/>
      <c r="G62" s="3"/>
      <c r="H62" s="3"/>
      <c r="I62" s="3"/>
      <c r="J62" s="3"/>
      <c r="K62" s="3"/>
      <c r="L62" s="3"/>
      <c r="M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1:36" x14ac:dyDescent="0.25">
      <c r="A63" s="17">
        <v>3.800000000000002</v>
      </c>
      <c r="B63" s="17"/>
      <c r="C63" s="17">
        <f t="shared" si="2"/>
        <v>3.9930693513181064</v>
      </c>
      <c r="D63" s="6"/>
      <c r="E63" s="6"/>
      <c r="F63" s="3"/>
      <c r="G63" s="3"/>
      <c r="H63" s="3"/>
      <c r="I63" s="3"/>
      <c r="J63" s="3"/>
      <c r="K63" s="3"/>
      <c r="L63" s="3"/>
      <c r="M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1:36" x14ac:dyDescent="0.25">
      <c r="A64" s="17">
        <v>3.9000000000000021</v>
      </c>
      <c r="B64" s="17"/>
      <c r="C64" s="17">
        <f t="shared" si="2"/>
        <v>3.9825819736050927</v>
      </c>
      <c r="D64" s="6"/>
      <c r="E64" s="6"/>
      <c r="F64" s="3"/>
      <c r="G64" s="3"/>
      <c r="H64" s="3"/>
      <c r="I64" s="3"/>
      <c r="J64" s="3"/>
      <c r="K64" s="3"/>
      <c r="L64" s="3"/>
      <c r="M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</row>
    <row r="65" spans="1:36" x14ac:dyDescent="0.25">
      <c r="A65" s="17">
        <v>4.0000000000000018</v>
      </c>
      <c r="B65" s="17"/>
      <c r="C65" s="17">
        <f t="shared" si="2"/>
        <v>3.9732033102736963</v>
      </c>
      <c r="D65" s="6"/>
      <c r="E65" s="6"/>
      <c r="F65" s="3"/>
      <c r="G65" s="3"/>
      <c r="H65" s="3"/>
      <c r="I65" s="3"/>
      <c r="J65" s="3"/>
      <c r="K65" s="3"/>
      <c r="L65" s="3"/>
      <c r="M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</row>
    <row r="66" spans="1:36" x14ac:dyDescent="0.25">
      <c r="A66" s="17">
        <v>4.1000000000000014</v>
      </c>
      <c r="B66" s="17"/>
      <c r="C66" s="17">
        <f t="shared" si="2"/>
        <v>3.9648366091784744</v>
      </c>
      <c r="D66" s="6"/>
      <c r="E66" s="6"/>
      <c r="F66" s="3"/>
      <c r="G66" s="3"/>
      <c r="H66" s="3"/>
      <c r="I66" s="3"/>
      <c r="J66" s="3"/>
      <c r="K66" s="3"/>
      <c r="L66" s="3"/>
      <c r="M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</row>
    <row r="67" spans="1:36" x14ac:dyDescent="0.25">
      <c r="A67" s="17">
        <v>4.2000000000000011</v>
      </c>
      <c r="B67" s="17"/>
      <c r="C67" s="17">
        <f t="shared" si="2"/>
        <v>3.957389262426231</v>
      </c>
      <c r="D67" s="6"/>
      <c r="E67" s="6"/>
      <c r="F67" s="3"/>
      <c r="G67" s="3"/>
      <c r="H67" s="3"/>
      <c r="I67" s="3"/>
      <c r="J67" s="3"/>
      <c r="K67" s="3"/>
      <c r="L67" s="3"/>
      <c r="M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</row>
    <row r="68" spans="1:36" x14ac:dyDescent="0.25">
      <c r="A68" s="17">
        <v>4.3000000000000007</v>
      </c>
      <c r="B68" s="17"/>
      <c r="C68" s="17">
        <f t="shared" si="2"/>
        <v>3.9507736035605894</v>
      </c>
      <c r="D68" s="6"/>
      <c r="E68" s="6"/>
      <c r="F68" s="3"/>
      <c r="G68" s="3"/>
      <c r="H68" s="3"/>
      <c r="I68" s="3"/>
      <c r="J68" s="3"/>
      <c r="K68" s="3"/>
      <c r="L68" s="3"/>
      <c r="M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</row>
    <row r="69" spans="1:36" x14ac:dyDescent="0.25">
      <c r="A69" s="17">
        <v>4.4000000000000004</v>
      </c>
      <c r="B69" s="17"/>
      <c r="C69" s="17">
        <f t="shared" si="2"/>
        <v>3.9449074448082424</v>
      </c>
      <c r="D69" s="6"/>
      <c r="E69" s="6"/>
      <c r="F69" s="3"/>
      <c r="G69" s="3"/>
      <c r="H69" s="3"/>
      <c r="I69" s="3"/>
      <c r="J69" s="3"/>
      <c r="K69" s="3"/>
      <c r="L69" s="3"/>
      <c r="M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</row>
    <row r="70" spans="1:36" x14ac:dyDescent="0.25">
      <c r="A70" s="17">
        <v>4.5</v>
      </c>
      <c r="B70" s="17"/>
      <c r="C70" s="17">
        <f t="shared" si="2"/>
        <v>3.9397143884453558</v>
      </c>
      <c r="D70" s="6"/>
      <c r="E70" s="6"/>
      <c r="F70" s="3"/>
      <c r="G70" s="3"/>
      <c r="H70" s="3"/>
      <c r="I70" s="3"/>
      <c r="J70" s="3"/>
      <c r="K70" s="3"/>
      <c r="L70" s="3"/>
      <c r="M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</row>
    <row r="71" spans="1:36" x14ac:dyDescent="0.25">
      <c r="A71" s="17">
        <v>4.5999999999999996</v>
      </c>
      <c r="B71" s="17"/>
      <c r="C71" s="17">
        <f t="shared" si="2"/>
        <v>3.9351239491100363</v>
      </c>
      <c r="D71" s="6"/>
      <c r="E71" s="6"/>
      <c r="F71" s="3"/>
      <c r="G71" s="3"/>
      <c r="H71" s="3"/>
      <c r="I71" s="3"/>
      <c r="J71" s="3"/>
      <c r="K71" s="3"/>
      <c r="L71" s="3"/>
      <c r="M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1:36" x14ac:dyDescent="0.25">
      <c r="A72" s="17">
        <v>4.6999999999999993</v>
      </c>
      <c r="B72" s="17"/>
      <c r="C72" s="17">
        <f t="shared" si="2"/>
        <v>3.9310715236657505</v>
      </c>
      <c r="D72" s="6"/>
      <c r="E72" s="6"/>
      <c r="F72" s="3"/>
      <c r="G72" s="3"/>
      <c r="H72" s="3"/>
      <c r="I72" s="3"/>
      <c r="J72" s="3"/>
      <c r="K72" s="3"/>
      <c r="L72" s="3"/>
      <c r="M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</row>
    <row r="73" spans="1:36" x14ac:dyDescent="0.25">
      <c r="A73" s="17">
        <v>4.7999999999999989</v>
      </c>
      <c r="B73" s="17"/>
      <c r="C73" s="17">
        <f t="shared" si="2"/>
        <v>3.9274982429150271</v>
      </c>
      <c r="D73" s="6"/>
      <c r="E73" s="6"/>
      <c r="F73" s="3"/>
      <c r="G73" s="3"/>
      <c r="H73" s="3"/>
      <c r="I73" s="3"/>
      <c r="J73" s="3"/>
      <c r="K73" s="3"/>
      <c r="L73" s="3"/>
      <c r="M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</row>
    <row r="74" spans="1:36" x14ac:dyDescent="0.25">
      <c r="A74" s="17">
        <v>4.8999999999999986</v>
      </c>
      <c r="B74" s="17"/>
      <c r="C74" s="17">
        <f t="shared" si="2"/>
        <v>3.9243507358696492</v>
      </c>
      <c r="D74" s="6"/>
      <c r="E74" s="6"/>
      <c r="F74" s="3"/>
      <c r="G74" s="3"/>
      <c r="H74" s="3"/>
      <c r="I74" s="3"/>
      <c r="J74" s="3"/>
      <c r="K74" s="3"/>
      <c r="L74" s="3"/>
      <c r="M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</row>
    <row r="75" spans="1:36" x14ac:dyDescent="0.25">
      <c r="A75" s="17">
        <v>4.9999999999999982</v>
      </c>
      <c r="B75" s="17"/>
      <c r="C75" s="17">
        <f t="shared" si="2"/>
        <v>3.9215808330469124</v>
      </c>
      <c r="D75" s="6"/>
      <c r="E75" s="6"/>
      <c r="F75" s="3"/>
      <c r="G75" s="3"/>
      <c r="H75" s="3"/>
      <c r="I75" s="3"/>
      <c r="J75" s="3"/>
      <c r="K75" s="3"/>
      <c r="L75" s="3"/>
      <c r="M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</row>
    <row r="76" spans="1:36" x14ac:dyDescent="0.25">
      <c r="A76" s="17">
        <v>5.0999999999999979</v>
      </c>
      <c r="B76" s="17"/>
      <c r="C76" s="17">
        <f t="shared" si="2"/>
        <v>3.9191452308620658</v>
      </c>
      <c r="D76" s="6"/>
      <c r="E76" s="6"/>
      <c r="F76" s="3"/>
      <c r="G76" s="3"/>
      <c r="H76" s="3"/>
      <c r="I76" s="3"/>
      <c r="J76" s="3"/>
      <c r="K76" s="3"/>
      <c r="L76" s="3"/>
      <c r="M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1:36" x14ac:dyDescent="0.25">
      <c r="A77" s="17">
        <v>5.1999999999999975</v>
      </c>
      <c r="B77" s="17"/>
      <c r="C77" s="17">
        <f t="shared" si="2"/>
        <v>3.9170051349551978</v>
      </c>
      <c r="D77" s="6"/>
      <c r="E77" s="6"/>
      <c r="F77" s="3"/>
      <c r="G77" s="3"/>
      <c r="H77" s="3"/>
      <c r="I77" s="3"/>
      <c r="J77" s="3"/>
      <c r="K77" s="3"/>
      <c r="L77" s="3"/>
      <c r="M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1:36" x14ac:dyDescent="0.25">
      <c r="A78" s="17">
        <v>5.2999999999999972</v>
      </c>
      <c r="B78" s="17"/>
      <c r="C78" s="17">
        <f t="shared" si="2"/>
        <v>3.9151258964310829</v>
      </c>
      <c r="D78" s="6"/>
      <c r="E78" s="6"/>
      <c r="F78" s="3"/>
      <c r="G78" s="3"/>
      <c r="H78" s="3"/>
      <c r="I78" s="3"/>
      <c r="J78" s="3"/>
      <c r="K78" s="3"/>
      <c r="L78" s="3"/>
      <c r="M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1:36" x14ac:dyDescent="0.25">
      <c r="A79" s="17">
        <v>5.3999999999999968</v>
      </c>
      <c r="B79" s="17"/>
      <c r="C79" s="17">
        <f t="shared" si="2"/>
        <v>3.913476651609936</v>
      </c>
      <c r="D79" s="6"/>
      <c r="E79" s="6"/>
      <c r="F79" s="3"/>
      <c r="G79" s="3"/>
      <c r="H79" s="3"/>
      <c r="I79" s="3"/>
      <c r="J79" s="3"/>
      <c r="K79" s="3"/>
      <c r="L79" s="3"/>
      <c r="M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</row>
    <row r="80" spans="1:36" x14ac:dyDescent="0.25">
      <c r="A80" s="17">
        <v>5.4999999999999964</v>
      </c>
      <c r="B80" s="17"/>
      <c r="C80" s="17">
        <f t="shared" si="2"/>
        <v>3.9120299730221926</v>
      </c>
      <c r="D80" s="6"/>
      <c r="E80" s="6"/>
      <c r="F80" s="3"/>
      <c r="G80" s="3"/>
      <c r="H80" s="3"/>
      <c r="I80" s="3"/>
      <c r="J80" s="3"/>
      <c r="K80" s="3"/>
      <c r="L80" s="3"/>
      <c r="M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</row>
    <row r="81" spans="1:36" x14ac:dyDescent="0.25">
      <c r="A81" s="17">
        <v>5.5999999999999961</v>
      </c>
      <c r="B81" s="17"/>
      <c r="C81" s="17">
        <f t="shared" si="2"/>
        <v>3.9107615370207935</v>
      </c>
      <c r="D81" s="6"/>
      <c r="E81" s="6"/>
      <c r="F81" s="3"/>
      <c r="G81" s="3"/>
      <c r="H81" s="3"/>
      <c r="I81" s="3"/>
      <c r="J81" s="3"/>
      <c r="K81" s="3"/>
      <c r="L81" s="3"/>
      <c r="M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</row>
    <row r="82" spans="1:36" x14ac:dyDescent="0.25">
      <c r="A82" s="17">
        <v>5.6999999999999957</v>
      </c>
      <c r="B82" s="17"/>
      <c r="C82" s="17">
        <f t="shared" si="2"/>
        <v>3.9096498114906661</v>
      </c>
      <c r="D82" s="6"/>
      <c r="E82" s="6"/>
      <c r="F82" s="3"/>
      <c r="G82" s="3"/>
      <c r="H82" s="3"/>
      <c r="I82" s="3"/>
      <c r="J82" s="3"/>
      <c r="K82" s="3"/>
      <c r="L82" s="3"/>
      <c r="M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</row>
    <row r="83" spans="1:36" x14ac:dyDescent="0.25">
      <c r="A83" s="17">
        <v>5.7999999999999954</v>
      </c>
      <c r="B83" s="17"/>
      <c r="C83" s="17">
        <f t="shared" si="2"/>
        <v>3.9086757656527036</v>
      </c>
      <c r="D83" s="6"/>
      <c r="E83" s="6"/>
      <c r="F83" s="3"/>
      <c r="G83" s="3"/>
      <c r="H83" s="3"/>
      <c r="I83" s="3"/>
      <c r="J83" s="3"/>
      <c r="K83" s="3"/>
      <c r="L83" s="3"/>
      <c r="M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</row>
    <row r="84" spans="1:36" x14ac:dyDescent="0.25">
      <c r="A84" s="17">
        <v>5.899999999999995</v>
      </c>
      <c r="B84" s="17"/>
      <c r="C84" s="17">
        <f t="shared" si="2"/>
        <v>3.9078226028286158</v>
      </c>
      <c r="D84" s="6"/>
      <c r="E84" s="6"/>
      <c r="F84" s="3"/>
      <c r="G84" s="3"/>
      <c r="H84" s="3"/>
      <c r="I84" s="3"/>
      <c r="J84" s="3"/>
      <c r="K84" s="3"/>
      <c r="L84" s="3"/>
      <c r="M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spans="1:36" x14ac:dyDescent="0.25">
      <c r="A85" s="17">
        <v>5.9999999999999947</v>
      </c>
      <c r="B85" s="17"/>
      <c r="C85" s="17">
        <f t="shared" si="2"/>
        <v>3.9070755161942503</v>
      </c>
      <c r="D85" s="6"/>
      <c r="E85" s="6"/>
      <c r="F85" s="3"/>
      <c r="G85" s="3"/>
      <c r="H85" s="3"/>
      <c r="I85" s="3"/>
      <c r="J85" s="3"/>
      <c r="K85" s="3"/>
      <c r="L85" s="3"/>
      <c r="M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spans="1:36" x14ac:dyDescent="0.25">
      <c r="A86" s="17">
        <v>6.0999999999999943</v>
      </c>
      <c r="B86" s="17"/>
      <c r="C86" s="17">
        <f t="shared" si="2"/>
        <v>3.9064214669474064</v>
      </c>
      <c r="D86" s="6"/>
      <c r="E86" s="6"/>
      <c r="F86" s="3"/>
      <c r="G86" s="3"/>
      <c r="H86" s="3"/>
      <c r="I86" s="3"/>
      <c r="J86" s="3"/>
      <c r="K86" s="3"/>
      <c r="L86" s="3"/>
      <c r="M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</row>
    <row r="87" spans="1:36" x14ac:dyDescent="0.25">
      <c r="A87" s="17">
        <v>6.199999999999994</v>
      </c>
      <c r="B87" s="17"/>
      <c r="C87" s="17">
        <f t="shared" si="2"/>
        <v>3.9058489839031889</v>
      </c>
      <c r="D87" s="6"/>
      <c r="E87" s="6"/>
      <c r="F87" s="3"/>
      <c r="G87" s="3"/>
      <c r="H87" s="3"/>
      <c r="I87" s="3"/>
      <c r="J87" s="3"/>
      <c r="K87" s="3"/>
      <c r="L87" s="3"/>
      <c r="M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</row>
    <row r="88" spans="1:36" x14ac:dyDescent="0.25">
      <c r="A88" s="17">
        <v>6.2999999999999936</v>
      </c>
      <c r="B88" s="17"/>
      <c r="C88" s="17">
        <f t="shared" si="2"/>
        <v>3.9053479832637907</v>
      </c>
      <c r="D88" s="6"/>
      <c r="E88" s="6"/>
      <c r="F88" s="3"/>
      <c r="G88" s="3"/>
      <c r="H88" s="3"/>
      <c r="I88" s="3"/>
      <c r="J88" s="3"/>
      <c r="K88" s="3"/>
      <c r="L88" s="3"/>
      <c r="M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</row>
    <row r="89" spans="1:36" x14ac:dyDescent="0.25">
      <c r="A89" s="17">
        <v>6.3999999999999932</v>
      </c>
      <c r="B89" s="17"/>
      <c r="C89" s="17">
        <f t="shared" si="2"/>
        <v>3.9049096071555676</v>
      </c>
      <c r="D89" s="6"/>
      <c r="E89" s="6"/>
      <c r="F89" s="3"/>
      <c r="G89" s="3"/>
      <c r="H89" s="3"/>
      <c r="I89" s="3"/>
      <c r="J89" s="3"/>
      <c r="K89" s="3"/>
      <c r="L89" s="3"/>
      <c r="M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</row>
    <row r="90" spans="1:36" x14ac:dyDescent="0.25">
      <c r="A90" s="17">
        <v>6.4999999999999929</v>
      </c>
      <c r="B90" s="17"/>
      <c r="C90" s="17">
        <f t="shared" ref="C90:C125" si="3" xml:space="preserve"> LOG((10^$G$5 - 10^$G$4) * EXP(-$G$3 *A90 )  + 10^$G$4)</f>
        <v>3.9045260794558683</v>
      </c>
      <c r="D90" s="6"/>
      <c r="E90" s="6"/>
      <c r="F90" s="3"/>
      <c r="G90" s="3"/>
      <c r="H90" s="3"/>
      <c r="I90" s="3"/>
      <c r="J90" s="3"/>
      <c r="K90" s="3"/>
      <c r="L90" s="3"/>
      <c r="M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</row>
    <row r="91" spans="1:36" x14ac:dyDescent="0.25">
      <c r="A91" s="17">
        <v>6.5999999999999925</v>
      </c>
      <c r="B91" s="17"/>
      <c r="C91" s="17">
        <f t="shared" si="3"/>
        <v>3.9041905774226047</v>
      </c>
      <c r="D91" s="6"/>
      <c r="E91" s="6"/>
      <c r="F91" s="3"/>
      <c r="G91" s="3"/>
      <c r="H91" s="3"/>
      <c r="I91" s="3"/>
      <c r="J91" s="3"/>
      <c r="K91" s="3"/>
      <c r="L91" s="3"/>
      <c r="M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</row>
    <row r="92" spans="1:36" x14ac:dyDescent="0.25">
      <c r="A92" s="17">
        <v>6.6999999999999922</v>
      </c>
      <c r="B92" s="17"/>
      <c r="C92" s="17">
        <f t="shared" si="3"/>
        <v>3.9038971176730501</v>
      </c>
      <c r="D92" s="6"/>
      <c r="E92" s="6"/>
      <c r="F92" s="3"/>
      <c r="G92" s="3"/>
      <c r="H92" s="3"/>
      <c r="I92" s="3"/>
      <c r="J92" s="3"/>
      <c r="K92" s="3"/>
      <c r="L92" s="3"/>
      <c r="M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</row>
    <row r="93" spans="1:36" x14ac:dyDescent="0.25">
      <c r="A93" s="17">
        <v>6.7999999999999918</v>
      </c>
      <c r="B93" s="17"/>
      <c r="C93" s="17">
        <f t="shared" si="3"/>
        <v>3.9036404551209571</v>
      </c>
      <c r="D93" s="6"/>
      <c r="E93" s="6"/>
      <c r="F93" s="3"/>
      <c r="G93" s="3"/>
      <c r="H93" s="3"/>
      <c r="I93" s="3"/>
      <c r="J93" s="3"/>
      <c r="K93" s="3"/>
      <c r="L93" s="3"/>
      <c r="M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</row>
    <row r="94" spans="1:36" x14ac:dyDescent="0.25">
      <c r="A94" s="17">
        <v>6.8999999999999915</v>
      </c>
      <c r="B94" s="17"/>
      <c r="C94" s="17">
        <f t="shared" si="3"/>
        <v>3.9034159935622137</v>
      </c>
      <c r="D94" s="6"/>
      <c r="E94" s="6"/>
      <c r="F94" s="3"/>
      <c r="G94" s="3"/>
      <c r="H94" s="3"/>
      <c r="I94" s="3"/>
      <c r="J94" s="3"/>
      <c r="K94" s="3"/>
      <c r="L94" s="3"/>
      <c r="M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</row>
    <row r="95" spans="1:36" x14ac:dyDescent="0.25">
      <c r="A95" s="17">
        <v>6.9999999999999911</v>
      </c>
      <c r="B95" s="17"/>
      <c r="C95" s="17">
        <f t="shared" si="3"/>
        <v>3.9032197066909942</v>
      </c>
      <c r="D95" s="6"/>
      <c r="E95" s="6"/>
      <c r="F95" s="3"/>
      <c r="G95" s="3"/>
      <c r="H95" s="3"/>
      <c r="I95" s="3"/>
      <c r="J95" s="3"/>
      <c r="K95" s="3"/>
      <c r="L95" s="3"/>
      <c r="M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</row>
    <row r="96" spans="1:36" x14ac:dyDescent="0.25">
      <c r="A96" s="17">
        <v>7.0999999999999908</v>
      </c>
      <c r="B96" s="17"/>
      <c r="C96" s="17">
        <f t="shared" si="3"/>
        <v>3.9030480684249103</v>
      </c>
      <c r="D96" s="6"/>
      <c r="E96" s="6"/>
      <c r="F96" s="3"/>
      <c r="G96" s="3"/>
      <c r="H96" s="3"/>
      <c r="I96" s="3"/>
      <c r="J96" s="3"/>
      <c r="K96" s="3"/>
      <c r="L96" s="3"/>
      <c r="M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</row>
    <row r="97" spans="1:36" x14ac:dyDescent="0.25">
      <c r="A97" s="17">
        <v>7.1999999999999904</v>
      </c>
      <c r="B97" s="17"/>
      <c r="C97" s="17">
        <f t="shared" si="3"/>
        <v>3.9028979915148314</v>
      </c>
      <c r="D97" s="6"/>
      <c r="E97" s="6"/>
      <c r="F97" s="3"/>
      <c r="G97" s="3"/>
      <c r="H97" s="3"/>
      <c r="I97" s="3"/>
      <c r="J97" s="3"/>
      <c r="K97" s="3"/>
      <c r="L97" s="3"/>
      <c r="M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</row>
    <row r="98" spans="1:36" x14ac:dyDescent="0.25">
      <c r="A98" s="17">
        <v>7.2999999999999901</v>
      </c>
      <c r="B98" s="17"/>
      <c r="C98" s="17">
        <f t="shared" si="3"/>
        <v>3.9027667735099829</v>
      </c>
      <c r="D98" s="6"/>
      <c r="E98" s="6"/>
      <c r="F98" s="3"/>
      <c r="G98" s="3"/>
      <c r="H98" s="3"/>
      <c r="I98" s="3"/>
      <c r="J98" s="3"/>
      <c r="K98" s="3"/>
      <c r="L98" s="3"/>
      <c r="M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</row>
    <row r="99" spans="1:36" x14ac:dyDescent="0.25">
      <c r="A99" s="17">
        <v>7.3999999999999897</v>
      </c>
      <c r="B99" s="17"/>
      <c r="C99" s="17">
        <f t="shared" si="3"/>
        <v>3.9026520492396313</v>
      </c>
      <c r="D99" s="6"/>
      <c r="E99" s="6"/>
      <c r="F99" s="3"/>
      <c r="G99" s="3"/>
      <c r="H99" s="3"/>
      <c r="I99" s="3"/>
      <c r="J99" s="3"/>
      <c r="K99" s="3"/>
      <c r="L99" s="3"/>
      <c r="M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</row>
    <row r="100" spans="1:36" x14ac:dyDescent="0.25">
      <c r="A100" s="17">
        <v>7.4999999999999893</v>
      </c>
      <c r="B100" s="17"/>
      <c r="C100" s="17">
        <f t="shared" si="3"/>
        <v>3.9025517490580115</v>
      </c>
      <c r="D100" s="6"/>
      <c r="E100" s="6"/>
      <c r="F100" s="3"/>
      <c r="G100" s="3"/>
      <c r="H100" s="3"/>
      <c r="I100" s="3"/>
      <c r="J100" s="3"/>
      <c r="K100" s="3"/>
      <c r="L100" s="3"/>
      <c r="M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</row>
    <row r="101" spans="1:36" x14ac:dyDescent="0.25">
      <c r="A101" s="17">
        <v>7.599999999999989</v>
      </c>
      <c r="B101" s="17"/>
      <c r="C101" s="17">
        <f t="shared" si="3"/>
        <v>3.9024640621783804</v>
      </c>
      <c r="D101" s="6"/>
      <c r="E101" s="6"/>
      <c r="F101" s="3"/>
      <c r="G101" s="3"/>
      <c r="H101" s="3"/>
      <c r="I101" s="3"/>
      <c r="J101" s="3"/>
      <c r="K101" s="3"/>
      <c r="L101" s="3"/>
      <c r="M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</row>
    <row r="102" spans="1:36" x14ac:dyDescent="0.25">
      <c r="A102" s="17">
        <v>7.6999999999999886</v>
      </c>
      <c r="B102" s="17"/>
      <c r="C102" s="17">
        <f t="shared" si="3"/>
        <v>3.9023874044949416</v>
      </c>
      <c r="D102" s="6"/>
      <c r="E102" s="6"/>
      <c r="F102" s="3"/>
      <c r="G102" s="3"/>
      <c r="H102" s="3"/>
      <c r="I102" s="3"/>
      <c r="J102" s="3"/>
      <c r="K102" s="3"/>
      <c r="L102" s="3"/>
      <c r="M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</row>
    <row r="103" spans="1:36" x14ac:dyDescent="0.25">
      <c r="A103" s="17">
        <v>7.7999999999999883</v>
      </c>
      <c r="B103" s="17"/>
      <c r="C103" s="17">
        <f t="shared" si="3"/>
        <v>3.9023203903578727</v>
      </c>
      <c r="D103" s="6"/>
      <c r="E103" s="6"/>
      <c r="F103" s="3"/>
      <c r="G103" s="3"/>
      <c r="H103" s="3"/>
      <c r="I103" s="3"/>
      <c r="J103" s="3"/>
      <c r="K103" s="3"/>
      <c r="L103" s="3"/>
      <c r="M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</row>
    <row r="104" spans="1:36" x14ac:dyDescent="0.25">
      <c r="A104" s="17">
        <v>7.8999999999999879</v>
      </c>
      <c r="B104" s="17"/>
      <c r="C104" s="17">
        <f t="shared" si="3"/>
        <v>3.9022618078269153</v>
      </c>
      <c r="D104" s="6"/>
      <c r="E104" s="6"/>
      <c r="F104" s="3"/>
      <c r="G104" s="3"/>
      <c r="H104" s="3"/>
      <c r="I104" s="3"/>
      <c r="J104" s="3"/>
      <c r="K104" s="3"/>
      <c r="L104" s="3"/>
      <c r="M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</row>
    <row r="105" spans="1:36" x14ac:dyDescent="0.25">
      <c r="A105" s="17">
        <v>7.9999999999999876</v>
      </c>
      <c r="B105" s="17"/>
      <c r="C105" s="17">
        <f t="shared" si="3"/>
        <v>3.9022105969833096</v>
      </c>
      <c r="D105" s="6"/>
      <c r="E105" s="6"/>
      <c r="F105" s="3"/>
      <c r="G105" s="3"/>
      <c r="H105" s="3"/>
      <c r="I105" s="3"/>
      <c r="J105" s="3"/>
      <c r="K105" s="3"/>
      <c r="L105" s="3"/>
      <c r="M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</row>
    <row r="106" spans="1:36" x14ac:dyDescent="0.25">
      <c r="A106" s="17">
        <v>8.0999999999999872</v>
      </c>
      <c r="B106" s="17"/>
      <c r="C106" s="17">
        <f t="shared" si="3"/>
        <v>3.9021658309285869</v>
      </c>
      <c r="D106" s="6"/>
      <c r="E106" s="6"/>
      <c r="F106" s="3"/>
      <c r="G106" s="3"/>
      <c r="H106" s="3"/>
      <c r="I106" s="3"/>
      <c r="J106" s="3"/>
      <c r="K106" s="3"/>
      <c r="L106" s="3"/>
      <c r="M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</row>
    <row r="107" spans="1:36" x14ac:dyDescent="0.25">
      <c r="A107" s="17">
        <v>8.1999999999999869</v>
      </c>
      <c r="B107" s="17"/>
      <c r="C107" s="17">
        <f t="shared" si="3"/>
        <v>3.9021266991423129</v>
      </c>
      <c r="D107" s="6"/>
      <c r="E107" s="6"/>
      <c r="F107" s="3"/>
      <c r="G107" s="3"/>
      <c r="H107" s="3"/>
      <c r="I107" s="3"/>
      <c r="J107" s="3"/>
      <c r="K107" s="3"/>
      <c r="L107" s="3"/>
      <c r="M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</row>
    <row r="108" spans="1:36" x14ac:dyDescent="0.25">
      <c r="A108" s="17">
        <v>8.2999999999999865</v>
      </c>
      <c r="B108" s="17"/>
      <c r="C108" s="17">
        <f t="shared" si="3"/>
        <v>3.9020924929097136</v>
      </c>
      <c r="D108" s="6"/>
      <c r="E108" s="6"/>
      <c r="F108" s="3"/>
      <c r="G108" s="3"/>
      <c r="H108" s="3"/>
      <c r="I108" s="3"/>
      <c r="J108" s="3"/>
      <c r="K108" s="3"/>
      <c r="L108" s="3"/>
      <c r="M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</row>
    <row r="109" spans="1:36" x14ac:dyDescent="0.25">
      <c r="A109" s="17">
        <v>8.3999999999999861</v>
      </c>
      <c r="B109" s="17"/>
      <c r="C109" s="17">
        <f t="shared" si="3"/>
        <v>3.9020625925646355</v>
      </c>
      <c r="D109" s="6"/>
      <c r="E109" s="6"/>
      <c r="F109" s="3"/>
      <c r="G109" s="3"/>
      <c r="H109" s="3"/>
      <c r="I109" s="3"/>
      <c r="J109" s="3"/>
      <c r="K109" s="3"/>
      <c r="L109" s="3"/>
      <c r="M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</row>
    <row r="110" spans="1:36" x14ac:dyDescent="0.25">
      <c r="A110" s="17">
        <v>8.4999999999999858</v>
      </c>
      <c r="B110" s="17"/>
      <c r="C110" s="17">
        <f t="shared" si="3"/>
        <v>3.9020364563239123</v>
      </c>
      <c r="D110" s="6"/>
      <c r="E110" s="6"/>
      <c r="F110" s="3"/>
      <c r="G110" s="3"/>
      <c r="H110" s="3"/>
      <c r="I110" s="3"/>
      <c r="J110" s="3"/>
      <c r="K110" s="3"/>
      <c r="L110" s="3"/>
      <c r="M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</row>
    <row r="111" spans="1:36" x14ac:dyDescent="0.25">
      <c r="A111" s="17">
        <v>8.5999999999999854</v>
      </c>
      <c r="B111" s="17"/>
      <c r="C111" s="17">
        <f t="shared" si="3"/>
        <v>3.9020136105163026</v>
      </c>
      <c r="D111" s="6"/>
      <c r="E111" s="6"/>
      <c r="F111" s="3"/>
      <c r="G111" s="3"/>
      <c r="H111" s="3"/>
      <c r="I111" s="3"/>
      <c r="J111" s="3"/>
      <c r="K111" s="3"/>
      <c r="L111" s="3"/>
      <c r="M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</row>
    <row r="112" spans="1:36" x14ac:dyDescent="0.25">
      <c r="A112" s="17">
        <v>8.6999999999999851</v>
      </c>
      <c r="B112" s="17"/>
      <c r="C112" s="17">
        <f t="shared" si="3"/>
        <v>3.9019936410331133</v>
      </c>
      <c r="D112" s="6"/>
      <c r="E112" s="6"/>
      <c r="F112" s="3"/>
      <c r="G112" s="3"/>
      <c r="H112" s="3"/>
      <c r="I112" s="3"/>
      <c r="J112" s="3"/>
      <c r="K112" s="3"/>
      <c r="L112" s="3"/>
      <c r="M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</row>
    <row r="113" spans="1:36" x14ac:dyDescent="0.25">
      <c r="A113" s="17">
        <v>8.7999999999999847</v>
      </c>
      <c r="B113" s="17"/>
      <c r="C113" s="17">
        <f t="shared" si="3"/>
        <v>3.9019761858487412</v>
      </c>
      <c r="D113" s="6"/>
      <c r="E113" s="6"/>
      <c r="F113" s="3"/>
      <c r="G113" s="3"/>
      <c r="H113" s="3"/>
      <c r="I113" s="3"/>
      <c r="J113" s="3"/>
      <c r="K113" s="3"/>
      <c r="L113" s="3"/>
      <c r="M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</row>
    <row r="114" spans="1:36" x14ac:dyDescent="0.25">
      <c r="A114" s="17">
        <v>8.8999999999999844</v>
      </c>
      <c r="B114" s="17"/>
      <c r="C114" s="17">
        <f t="shared" si="3"/>
        <v>3.9019609284779988</v>
      </c>
      <c r="D114" s="6"/>
      <c r="E114" s="6"/>
      <c r="F114" s="3"/>
      <c r="G114" s="3"/>
      <c r="H114" s="3"/>
      <c r="I114" s="3"/>
      <c r="J114" s="3"/>
      <c r="K114" s="3"/>
      <c r="L114" s="3"/>
      <c r="M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</row>
    <row r="115" spans="1:36" x14ac:dyDescent="0.25">
      <c r="A115" s="17">
        <v>8.999999999999984</v>
      </c>
      <c r="B115" s="17"/>
      <c r="C115" s="17">
        <f t="shared" si="3"/>
        <v>3.9019475922534648</v>
      </c>
      <c r="D115" s="6"/>
      <c r="E115" s="6"/>
      <c r="F115" s="3"/>
      <c r="G115" s="3"/>
      <c r="H115" s="3"/>
      <c r="I115" s="3"/>
      <c r="J115" s="3"/>
      <c r="K115" s="3"/>
      <c r="L115" s="3"/>
      <c r="M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</row>
    <row r="116" spans="1:36" x14ac:dyDescent="0.25">
      <c r="A116" s="17">
        <v>9.0999999999999837</v>
      </c>
      <c r="B116" s="17"/>
      <c r="C116" s="17">
        <f t="shared" si="3"/>
        <v>3.901935935320525</v>
      </c>
      <c r="D116" s="6"/>
      <c r="E116" s="6"/>
      <c r="F116" s="3"/>
      <c r="G116" s="3"/>
      <c r="H116" s="3"/>
      <c r="I116" s="3"/>
      <c r="J116" s="3"/>
      <c r="K116" s="3"/>
      <c r="L116" s="3"/>
      <c r="M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</row>
    <row r="117" spans="1:36" x14ac:dyDescent="0.25">
      <c r="A117" s="17">
        <v>9.1999999999999833</v>
      </c>
      <c r="B117" s="17"/>
      <c r="C117" s="17">
        <f t="shared" si="3"/>
        <v>3.9019257462604302</v>
      </c>
      <c r="D117" s="6"/>
      <c r="E117" s="6"/>
      <c r="F117" s="3"/>
      <c r="G117" s="3"/>
      <c r="H117" s="3"/>
      <c r="I117" s="3"/>
      <c r="J117" s="3"/>
      <c r="K117" s="3"/>
      <c r="L117" s="3"/>
      <c r="M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</row>
    <row r="118" spans="1:36" x14ac:dyDescent="0.25">
      <c r="A118" s="17">
        <v>9.2999999999999829</v>
      </c>
      <c r="B118" s="17"/>
      <c r="C118" s="17">
        <f t="shared" si="3"/>
        <v>3.9019168402628277</v>
      </c>
      <c r="D118" s="6"/>
      <c r="E118" s="6"/>
      <c r="F118" s="3"/>
      <c r="G118" s="3"/>
      <c r="H118" s="3"/>
      <c r="I118" s="3"/>
      <c r="J118" s="3"/>
      <c r="K118" s="3"/>
      <c r="L118" s="3"/>
      <c r="M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</row>
    <row r="119" spans="1:36" x14ac:dyDescent="0.25">
      <c r="A119" s="17">
        <v>9.3999999999999826</v>
      </c>
      <c r="B119" s="17"/>
      <c r="C119" s="17">
        <f t="shared" si="3"/>
        <v>3.9019090557789813</v>
      </c>
      <c r="D119" s="6"/>
      <c r="E119" s="6"/>
      <c r="F119" s="3"/>
      <c r="G119" s="3"/>
      <c r="H119" s="3"/>
      <c r="I119" s="3"/>
      <c r="J119" s="3"/>
      <c r="K119" s="3"/>
      <c r="L119" s="3"/>
      <c r="M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</row>
    <row r="120" spans="1:36" x14ac:dyDescent="0.25">
      <c r="A120" s="17">
        <v>9.4999999999999822</v>
      </c>
      <c r="B120" s="17"/>
      <c r="C120" s="17">
        <f t="shared" si="3"/>
        <v>3.9019022515954611</v>
      </c>
      <c r="D120" s="6"/>
      <c r="E120" s="6"/>
      <c r="F120" s="3"/>
      <c r="G120" s="3"/>
      <c r="H120" s="3"/>
      <c r="I120" s="3"/>
      <c r="J120" s="3"/>
      <c r="K120" s="3"/>
      <c r="L120" s="3"/>
      <c r="M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</row>
    <row r="121" spans="1:36" x14ac:dyDescent="0.25">
      <c r="A121" s="17">
        <v>9.5999999999999819</v>
      </c>
      <c r="B121" s="17"/>
      <c r="C121" s="17">
        <f t="shared" si="3"/>
        <v>3.9018963042755916</v>
      </c>
      <c r="D121" s="6"/>
      <c r="E121" s="6"/>
      <c r="F121" s="3"/>
      <c r="G121" s="3"/>
      <c r="H121" s="3"/>
      <c r="I121" s="3"/>
      <c r="J121" s="3"/>
      <c r="K121" s="3"/>
      <c r="L121" s="3"/>
      <c r="M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</row>
    <row r="122" spans="1:36" x14ac:dyDescent="0.25">
      <c r="A122" s="17">
        <v>9.6999999999999815</v>
      </c>
      <c r="B122" s="17"/>
      <c r="C122" s="17">
        <f t="shared" si="3"/>
        <v>3.9018911059225294</v>
      </c>
      <c r="D122" s="6"/>
      <c r="E122" s="6"/>
      <c r="F122" s="3"/>
      <c r="G122" s="3"/>
      <c r="H122" s="3"/>
      <c r="I122" s="3"/>
      <c r="J122" s="3"/>
      <c r="K122" s="3"/>
      <c r="L122" s="3"/>
      <c r="M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</row>
    <row r="123" spans="1:36" x14ac:dyDescent="0.25">
      <c r="A123" s="17">
        <v>9.7999999999999812</v>
      </c>
      <c r="B123" s="17"/>
      <c r="C123" s="17">
        <f t="shared" si="3"/>
        <v>3.9018865622236052</v>
      </c>
      <c r="D123" s="6"/>
      <c r="E123" s="6"/>
      <c r="F123" s="3"/>
      <c r="G123" s="3"/>
      <c r="H123" s="3"/>
      <c r="I123" s="3"/>
      <c r="J123" s="3"/>
      <c r="K123" s="3"/>
      <c r="L123" s="3"/>
      <c r="M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</row>
    <row r="124" spans="1:36" x14ac:dyDescent="0.25">
      <c r="A124" s="17">
        <v>9.8999999999999808</v>
      </c>
      <c r="B124" s="17"/>
      <c r="C124" s="17">
        <f t="shared" si="3"/>
        <v>3.9018825907406174</v>
      </c>
      <c r="D124" s="6"/>
      <c r="E124" s="6"/>
      <c r="F124" s="3"/>
      <c r="G124" s="3"/>
      <c r="H124" s="3"/>
      <c r="I124" s="3"/>
      <c r="J124" s="3"/>
      <c r="K124" s="3"/>
      <c r="L124" s="3"/>
      <c r="M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</row>
    <row r="125" spans="1:36" x14ac:dyDescent="0.25">
      <c r="A125" s="17">
        <v>9.9999999999999805</v>
      </c>
      <c r="B125" s="17"/>
      <c r="C125" s="17">
        <f t="shared" si="3"/>
        <v>3.9018791194151814</v>
      </c>
      <c r="D125" s="6"/>
      <c r="E125" s="6"/>
      <c r="F125" s="3"/>
      <c r="G125" s="3"/>
      <c r="H125" s="3"/>
      <c r="I125" s="3"/>
      <c r="J125" s="3"/>
      <c r="K125" s="3"/>
      <c r="L125" s="3"/>
      <c r="M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</row>
  </sheetData>
  <mergeCells count="1">
    <mergeCell ref="F12:L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0" zoomScaleNormal="80" workbookViewId="0">
      <selection sqref="A1:F21"/>
    </sheetView>
  </sheetViews>
  <sheetFormatPr defaultRowHeight="15" x14ac:dyDescent="0.25"/>
  <cols>
    <col min="1" max="1" width="9.140625" style="8"/>
    <col min="2" max="2" width="10.5703125" style="8" bestFit="1" customWidth="1"/>
    <col min="3" max="3" width="12" style="8" bestFit="1" customWidth="1"/>
    <col min="4" max="4" width="13.7109375" style="8" bestFit="1" customWidth="1"/>
    <col min="5" max="5" width="9.140625" style="8"/>
    <col min="6" max="6" width="9.5703125" style="9" bestFit="1" customWidth="1"/>
    <col min="7" max="16384" width="9.140625" style="9"/>
  </cols>
  <sheetData>
    <row r="1" spans="1:6" x14ac:dyDescent="0.25">
      <c r="A1" s="8" t="s">
        <v>4</v>
      </c>
      <c r="B1" s="8" t="s">
        <v>5</v>
      </c>
      <c r="C1" s="8" t="s">
        <v>43</v>
      </c>
      <c r="D1" s="8" t="s">
        <v>39</v>
      </c>
      <c r="E1" s="15" t="s">
        <v>6</v>
      </c>
      <c r="F1" s="9" t="s">
        <v>3</v>
      </c>
    </row>
    <row r="2" spans="1:6" x14ac:dyDescent="0.25">
      <c r="A2" s="15">
        <v>12662</v>
      </c>
      <c r="B2" s="8" t="s">
        <v>0</v>
      </c>
      <c r="C2" s="8" t="s">
        <v>42</v>
      </c>
      <c r="D2" s="8" t="s">
        <v>44</v>
      </c>
      <c r="E2" s="6">
        <v>0</v>
      </c>
      <c r="F2" s="18">
        <f>LOG10(1.97*10^5)</f>
        <v>5.2944662261615933</v>
      </c>
    </row>
    <row r="3" spans="1:6" x14ac:dyDescent="0.25">
      <c r="A3" s="15">
        <v>12662</v>
      </c>
      <c r="B3" s="8" t="s">
        <v>0</v>
      </c>
      <c r="C3" s="8" t="s">
        <v>42</v>
      </c>
      <c r="D3" s="8" t="s">
        <v>44</v>
      </c>
      <c r="E3" s="6">
        <v>1</v>
      </c>
      <c r="F3" s="18">
        <f>LOG10(3*10^5)</f>
        <v>5.4771212547196626</v>
      </c>
    </row>
    <row r="4" spans="1:6" x14ac:dyDescent="0.25">
      <c r="A4" s="15">
        <v>12662</v>
      </c>
      <c r="B4" s="8" t="s">
        <v>0</v>
      </c>
      <c r="C4" s="8" t="s">
        <v>42</v>
      </c>
      <c r="D4" s="8" t="s">
        <v>44</v>
      </c>
      <c r="E4" s="6">
        <v>2</v>
      </c>
      <c r="F4" s="18">
        <f>LOG10(4.3*10^4)</f>
        <v>4.6334684555795862</v>
      </c>
    </row>
    <row r="5" spans="1:6" x14ac:dyDescent="0.25">
      <c r="A5" s="15">
        <v>12662</v>
      </c>
      <c r="B5" s="8" t="s">
        <v>0</v>
      </c>
      <c r="C5" s="8" t="s">
        <v>42</v>
      </c>
      <c r="D5" s="8" t="s">
        <v>44</v>
      </c>
      <c r="E5" s="6">
        <v>4</v>
      </c>
      <c r="F5" s="18">
        <f>LOG10(1*10^4)</f>
        <v>4</v>
      </c>
    </row>
    <row r="6" spans="1:6" x14ac:dyDescent="0.25">
      <c r="A6" s="15">
        <v>12662</v>
      </c>
      <c r="B6" s="8" t="s">
        <v>0</v>
      </c>
      <c r="C6" s="8" t="s">
        <v>42</v>
      </c>
      <c r="D6" s="8" t="s">
        <v>44</v>
      </c>
      <c r="E6" s="6">
        <v>6</v>
      </c>
      <c r="F6" s="18">
        <f>LOG10(4.3*10^3)</f>
        <v>3.6334684555795866</v>
      </c>
    </row>
    <row r="7" spans="1:6" x14ac:dyDescent="0.25">
      <c r="A7" s="15">
        <v>12662</v>
      </c>
      <c r="B7" s="8" t="s">
        <v>0</v>
      </c>
      <c r="C7" s="8" t="s">
        <v>42</v>
      </c>
      <c r="D7" s="8" t="s">
        <v>44</v>
      </c>
      <c r="E7" s="6">
        <v>8</v>
      </c>
      <c r="F7" s="18">
        <f>LOG10(7.65*10^3)</f>
        <v>3.8836614351536176</v>
      </c>
    </row>
    <row r="8" spans="1:6" x14ac:dyDescent="0.25">
      <c r="A8" s="15">
        <v>12662</v>
      </c>
      <c r="B8" s="8" t="s">
        <v>0</v>
      </c>
      <c r="C8" s="8" t="s">
        <v>42</v>
      </c>
      <c r="D8" s="8" t="s">
        <v>44</v>
      </c>
      <c r="E8" s="6">
        <v>10</v>
      </c>
      <c r="F8" s="18">
        <f>LOG10(8.65*10^3)</f>
        <v>3.9370161074648142</v>
      </c>
    </row>
    <row r="9" spans="1:6" x14ac:dyDescent="0.25">
      <c r="A9" s="15">
        <v>12662</v>
      </c>
      <c r="B9" s="8" t="s">
        <v>1</v>
      </c>
      <c r="C9" s="8" t="s">
        <v>42</v>
      </c>
      <c r="D9" s="8" t="s">
        <v>44</v>
      </c>
      <c r="E9" s="6">
        <v>0</v>
      </c>
      <c r="F9" s="18">
        <f>LOG10(2.7*10^5)</f>
        <v>5.4313637641589869</v>
      </c>
    </row>
    <row r="10" spans="1:6" x14ac:dyDescent="0.25">
      <c r="A10" s="15">
        <v>12662</v>
      </c>
      <c r="B10" s="8" t="s">
        <v>1</v>
      </c>
      <c r="C10" s="8" t="s">
        <v>42</v>
      </c>
      <c r="D10" s="8" t="s">
        <v>44</v>
      </c>
      <c r="E10" s="6">
        <v>1</v>
      </c>
      <c r="F10" s="18">
        <f>LOG10(8.3*10^4)</f>
        <v>4.9190780923760737</v>
      </c>
    </row>
    <row r="11" spans="1:6" x14ac:dyDescent="0.25">
      <c r="A11" s="15">
        <v>12662</v>
      </c>
      <c r="B11" s="8" t="s">
        <v>1</v>
      </c>
      <c r="C11" s="8" t="s">
        <v>42</v>
      </c>
      <c r="D11" s="8" t="s">
        <v>44</v>
      </c>
      <c r="E11" s="6">
        <v>2</v>
      </c>
      <c r="F11" s="18">
        <f>LOG10(6.3*10^3)</f>
        <v>3.7993405494535817</v>
      </c>
    </row>
    <row r="12" spans="1:6" x14ac:dyDescent="0.25">
      <c r="A12" s="15">
        <v>12662</v>
      </c>
      <c r="B12" s="8" t="s">
        <v>1</v>
      </c>
      <c r="C12" s="8" t="s">
        <v>42</v>
      </c>
      <c r="D12" s="8" t="s">
        <v>44</v>
      </c>
      <c r="E12" s="6">
        <v>5</v>
      </c>
      <c r="F12" s="18">
        <f>LOG10(4.7*10^3)</f>
        <v>3.6720978579357175</v>
      </c>
    </row>
    <row r="13" spans="1:6" x14ac:dyDescent="0.25">
      <c r="A13" s="15">
        <v>12662</v>
      </c>
      <c r="B13" s="8" t="s">
        <v>1</v>
      </c>
      <c r="C13" s="8" t="s">
        <v>42</v>
      </c>
      <c r="D13" s="8" t="s">
        <v>44</v>
      </c>
      <c r="E13" s="6">
        <v>8</v>
      </c>
      <c r="F13" s="18">
        <f>LOG10(11.15*10^3)</f>
        <v>4.0472748673841794</v>
      </c>
    </row>
    <row r="14" spans="1:6" x14ac:dyDescent="0.25">
      <c r="A14" s="15">
        <v>12662</v>
      </c>
      <c r="B14" s="8" t="s">
        <v>1</v>
      </c>
      <c r="C14" s="8" t="s">
        <v>42</v>
      </c>
      <c r="D14" s="8" t="s">
        <v>44</v>
      </c>
      <c r="E14" s="6">
        <v>10</v>
      </c>
      <c r="F14" s="18">
        <f>LOG10(5.65*10^3)</f>
        <v>3.7520484478194387</v>
      </c>
    </row>
    <row r="15" spans="1:6" x14ac:dyDescent="0.25">
      <c r="A15" s="15">
        <v>12662</v>
      </c>
      <c r="B15" s="8" t="s">
        <v>2</v>
      </c>
      <c r="C15" s="8" t="s">
        <v>42</v>
      </c>
      <c r="D15" s="8" t="s">
        <v>44</v>
      </c>
      <c r="E15" s="6">
        <v>0</v>
      </c>
      <c r="F15" s="18">
        <f>LOG10(5.3*10^5)</f>
        <v>5.7242758696007892</v>
      </c>
    </row>
    <row r="16" spans="1:6" x14ac:dyDescent="0.25">
      <c r="A16" s="15">
        <v>12662</v>
      </c>
      <c r="B16" s="8" t="s">
        <v>2</v>
      </c>
      <c r="C16" s="8" t="s">
        <v>42</v>
      </c>
      <c r="D16" s="8" t="s">
        <v>44</v>
      </c>
      <c r="E16" s="6">
        <v>1</v>
      </c>
      <c r="F16" s="18">
        <f>LOG10(4.3*10^4)</f>
        <v>4.6334684555795862</v>
      </c>
    </row>
    <row r="17" spans="1:6" x14ac:dyDescent="0.25">
      <c r="A17" s="15">
        <v>12662</v>
      </c>
      <c r="B17" s="8" t="s">
        <v>2</v>
      </c>
      <c r="C17" s="8" t="s">
        <v>42</v>
      </c>
      <c r="D17" s="8" t="s">
        <v>44</v>
      </c>
      <c r="E17" s="6">
        <v>2</v>
      </c>
      <c r="F17" s="18">
        <f>LOG10(5.7*10^4)</f>
        <v>4.7558748556724915</v>
      </c>
    </row>
    <row r="18" spans="1:6" x14ac:dyDescent="0.25">
      <c r="A18" s="15">
        <v>12662</v>
      </c>
      <c r="B18" s="8" t="s">
        <v>2</v>
      </c>
      <c r="C18" s="8" t="s">
        <v>42</v>
      </c>
      <c r="D18" s="8" t="s">
        <v>44</v>
      </c>
      <c r="E18" s="6">
        <v>4</v>
      </c>
      <c r="F18" s="18">
        <f>LOG10(1.8*10^4)</f>
        <v>4.2552725051033065</v>
      </c>
    </row>
    <row r="19" spans="1:6" x14ac:dyDescent="0.25">
      <c r="A19" s="15">
        <v>12662</v>
      </c>
      <c r="B19" s="8" t="s">
        <v>2</v>
      </c>
      <c r="C19" s="8" t="s">
        <v>42</v>
      </c>
      <c r="D19" s="8" t="s">
        <v>44</v>
      </c>
      <c r="E19" s="6">
        <v>6</v>
      </c>
      <c r="F19" s="18">
        <v>4</v>
      </c>
    </row>
    <row r="20" spans="1:6" x14ac:dyDescent="0.25">
      <c r="A20" s="15">
        <v>12662</v>
      </c>
      <c r="B20" s="8" t="s">
        <v>2</v>
      </c>
      <c r="C20" s="8" t="s">
        <v>42</v>
      </c>
      <c r="D20" s="8" t="s">
        <v>44</v>
      </c>
      <c r="E20" s="6">
        <v>8</v>
      </c>
      <c r="F20" s="18">
        <f>LOG10(9.85*10^3)</f>
        <v>3.9934362304976116</v>
      </c>
    </row>
    <row r="21" spans="1:6" x14ac:dyDescent="0.25">
      <c r="A21" s="15">
        <v>12662</v>
      </c>
      <c r="B21" s="8" t="s">
        <v>2</v>
      </c>
      <c r="C21" s="8" t="s">
        <v>42</v>
      </c>
      <c r="D21" s="8" t="s">
        <v>44</v>
      </c>
      <c r="E21" s="6">
        <v>10</v>
      </c>
      <c r="F21" s="18">
        <f>LOG10(9.85*10^3)</f>
        <v>3.9934362304976116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Direct Heating 56C All Data</vt:lpstr>
      <vt:lpstr>12628 Un-chilled Geeraerd Tail</vt:lpstr>
      <vt:lpstr>12628 Un-chilled</vt:lpstr>
      <vt:lpstr>12628PC_Geeraerd_Tail</vt:lpstr>
      <vt:lpstr>12628 Pre-chilled</vt:lpstr>
      <vt:lpstr>12662 Un-chilled Geeraerd_Tail</vt:lpstr>
      <vt:lpstr>12662 Un-chilled</vt:lpstr>
      <vt:lpstr>12662 Pre-chilled_Geeraerd_Tail</vt:lpstr>
      <vt:lpstr>12662 Pre-chilled</vt:lpstr>
      <vt:lpstr>13126UC_Weibull</vt:lpstr>
      <vt:lpstr>13126 Un-chilled</vt:lpstr>
      <vt:lpstr>13126PC_Geeraerd_Tail</vt:lpstr>
      <vt:lpstr>13126 Pre-chilled</vt:lpstr>
      <vt:lpstr>13136 Un-chilled Coroller</vt:lpstr>
      <vt:lpstr>13136 Un-chilled</vt:lpstr>
      <vt:lpstr>13136 Pre-chilled Coroller</vt:lpstr>
      <vt:lpstr>13136 Pre-chilled</vt:lpstr>
    </vt:vector>
  </TitlesOfParts>
  <Company>The University of Liverpool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Food Matrices Direct Heating 56C</dc:title>
  <dc:creator>trjones</dc:creator>
  <cp:lastModifiedBy>Ginn, Michael</cp:lastModifiedBy>
  <dcterms:created xsi:type="dcterms:W3CDTF">2013-02-08T13:08:58Z</dcterms:created>
  <dcterms:modified xsi:type="dcterms:W3CDTF">2016-11-01T18:24:04Z</dcterms:modified>
</cp:coreProperties>
</file>