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120" yWindow="165" windowWidth="19020" windowHeight="11835" tabRatio="936"/>
  </bookViews>
  <sheets>
    <sheet name="Direct Heating 60C All Data" sheetId="78" r:id="rId1"/>
    <sheet name="12628 Un-chilled Albert" sheetId="63" r:id="rId2"/>
    <sheet name="12628 Un-chilled" sheetId="51" r:id="rId3"/>
    <sheet name="12628 Pre-chilled Geeraerd_Tail" sheetId="55" r:id="rId4"/>
    <sheet name="12628 Pre-chilled" sheetId="52" r:id="rId5"/>
    <sheet name="12662 Un-chilled Biphasic" sheetId="47" r:id="rId6"/>
    <sheet name="12662 Un-chilled" sheetId="37" r:id="rId7"/>
    <sheet name="12662PC_Geeraerd_Tail" sheetId="40" r:id="rId8"/>
    <sheet name="12662 Pre-chilled" sheetId="38" r:id="rId9"/>
    <sheet name="13126 Un-chilled Geeraerd_Tail" sheetId="27" r:id="rId10"/>
    <sheet name="13126 Un-chilled" sheetId="22" r:id="rId11"/>
    <sheet name="13126 Pre-chilled_Geeraerd_Tail" sheetId="73" r:id="rId12"/>
    <sheet name="13126 Pre-chilled" sheetId="21" r:id="rId13"/>
    <sheet name="13136 Un-chilled Biphasic" sheetId="17" r:id="rId14"/>
    <sheet name="13136 Un-chilled" sheetId="6" r:id="rId15"/>
    <sheet name="13136PC_Biphasic" sheetId="10" r:id="rId16"/>
    <sheet name="13136 Pre-chilled" sheetId="7" r:id="rId17"/>
  </sheets>
  <definedNames>
    <definedName name="solver_adj" localSheetId="3" hidden="1">'12628 Pre-chilled Geeraerd_Tail'!$G$2:$G$5</definedName>
    <definedName name="solver_adj" localSheetId="1" hidden="1">'12628 Un-chilled Albert'!$G$2:$G$5</definedName>
    <definedName name="solver_adj" localSheetId="5" hidden="1">'12662 Un-chilled Biphasic'!$G$2:$G$5</definedName>
    <definedName name="solver_adj" localSheetId="7" hidden="1">'12662PC_Geeraerd_Tail'!$G$2:$G$5</definedName>
    <definedName name="solver_adj" localSheetId="11" hidden="1">'13126 Pre-chilled_Geeraerd_Tail'!$G$2:$G$5</definedName>
    <definedName name="solver_adj" localSheetId="9" hidden="1">'13126 Un-chilled Geeraerd_Tail'!$G$2:$G$5</definedName>
    <definedName name="solver_adj" localSheetId="13" hidden="1">'13136 Un-chilled Biphasic'!$G$2:$G$5</definedName>
    <definedName name="solver_adj" localSheetId="15" hidden="1">'13136PC_Biphasic'!$G$2:$G$5</definedName>
    <definedName name="solver_cvg" localSheetId="3" hidden="1">0.0000000001</definedName>
    <definedName name="solver_cvg" localSheetId="1" hidden="1">0.0000000001</definedName>
    <definedName name="solver_cvg" localSheetId="5" hidden="1">0.0000000001</definedName>
    <definedName name="solver_cvg" localSheetId="7" hidden="1">0.0000000001</definedName>
    <definedName name="solver_cvg" localSheetId="11" hidden="1">0.0000000001</definedName>
    <definedName name="solver_cvg" localSheetId="9" hidden="1">0.0000000001</definedName>
    <definedName name="solver_cvg" localSheetId="13" hidden="1">0.0000000001</definedName>
    <definedName name="solver_cvg" localSheetId="15" hidden="1">0.0000000001</definedName>
    <definedName name="solver_drv" localSheetId="3" hidden="1">2</definedName>
    <definedName name="solver_drv" localSheetId="1" hidden="1">2</definedName>
    <definedName name="solver_drv" localSheetId="5" hidden="1">2</definedName>
    <definedName name="solver_drv" localSheetId="7" hidden="1">2</definedName>
    <definedName name="solver_drv" localSheetId="11" hidden="1">2</definedName>
    <definedName name="solver_drv" localSheetId="9" hidden="1">2</definedName>
    <definedName name="solver_drv" localSheetId="13" hidden="1">2</definedName>
    <definedName name="solver_drv" localSheetId="15" hidden="1">2</definedName>
    <definedName name="solver_est" localSheetId="3" hidden="1">2</definedName>
    <definedName name="solver_est" localSheetId="1" hidden="1">2</definedName>
    <definedName name="solver_est" localSheetId="5" hidden="1">2</definedName>
    <definedName name="solver_est" localSheetId="7" hidden="1">2</definedName>
    <definedName name="solver_est" localSheetId="11" hidden="1">2</definedName>
    <definedName name="solver_est" localSheetId="9" hidden="1">2</definedName>
    <definedName name="solver_est" localSheetId="13" hidden="1">2</definedName>
    <definedName name="solver_est" localSheetId="15" hidden="1">2</definedName>
    <definedName name="solver_itr" localSheetId="3" hidden="1">10000</definedName>
    <definedName name="solver_itr" localSheetId="1" hidden="1">10000</definedName>
    <definedName name="solver_itr" localSheetId="5" hidden="1">10000</definedName>
    <definedName name="solver_itr" localSheetId="7" hidden="1">10000</definedName>
    <definedName name="solver_itr" localSheetId="11" hidden="1">10000</definedName>
    <definedName name="solver_itr" localSheetId="9" hidden="1">10000</definedName>
    <definedName name="solver_itr" localSheetId="13" hidden="1">10000</definedName>
    <definedName name="solver_itr" localSheetId="15" hidden="1">10000</definedName>
    <definedName name="solver_lhs1" localSheetId="3" hidden="1">'12628 Pre-chilled Geeraerd_Tail'!$G$3</definedName>
    <definedName name="solver_lhs1" localSheetId="1" hidden="1">'12628 Un-chilled Albert'!$G$4</definedName>
    <definedName name="solver_lhs1" localSheetId="5" hidden="1">'12662 Un-chilled Biphasic'!$G$4</definedName>
    <definedName name="solver_lhs1" localSheetId="7" hidden="1">'12662PC_Geeraerd_Tail'!$G$3</definedName>
    <definedName name="solver_lhs1" localSheetId="11" hidden="1">'13126 Pre-chilled_Geeraerd_Tail'!$G$3</definedName>
    <definedName name="solver_lhs1" localSheetId="9" hidden="1">'13126 Un-chilled Geeraerd_Tail'!$G$3</definedName>
    <definedName name="solver_lhs1" localSheetId="13" hidden="1">'13136 Un-chilled Biphasic'!$G$4</definedName>
    <definedName name="solver_lhs1" localSheetId="15" hidden="1">'13136PC_Biphasic'!$G$4</definedName>
    <definedName name="solver_lhs2" localSheetId="1" hidden="1">'12628 Un-chilled Albert'!$G$4</definedName>
    <definedName name="solver_lhs2" localSheetId="5" hidden="1">'12662 Un-chilled Biphasic'!$G$3</definedName>
    <definedName name="solver_lhs2" localSheetId="13" hidden="1">'13136 Un-chilled Biphasic'!$G$3</definedName>
    <definedName name="solver_lhs2" localSheetId="15" hidden="1">'13136PC_Biphasic'!$G$3</definedName>
    <definedName name="solver_lhs3" localSheetId="1" hidden="1">'12628 Un-chilled Albert'!$G$3</definedName>
    <definedName name="solver_lhs3" localSheetId="5" hidden="1">'12662 Un-chilled Biphasic'!$G$3</definedName>
    <definedName name="solver_lhs3" localSheetId="13" hidden="1">'13136 Un-chilled Biphasic'!$G$3</definedName>
    <definedName name="solver_lhs3" localSheetId="15" hidden="1">'13136PC_Biphasic'!$G$3</definedName>
    <definedName name="solver_lhs4" localSheetId="1" hidden="1">'12628 Un-chilled Albert'!$G$3</definedName>
    <definedName name="solver_lhs4" localSheetId="5" hidden="1">'12662 Un-chilled Biphasic'!$G$3</definedName>
    <definedName name="solver_lhs4" localSheetId="13" hidden="1">'13136 Un-chilled Biphasic'!$G$3</definedName>
    <definedName name="solver_lhs4" localSheetId="15" hidden="1">'13136PC_Biphasic'!$G$3</definedName>
    <definedName name="solver_lhs5" localSheetId="1" hidden="1">'12628 Un-chilled Albert'!$G$4</definedName>
    <definedName name="solver_lhs5" localSheetId="5" hidden="1">'12662 Un-chilled Biphasic'!$G$4</definedName>
    <definedName name="solver_lhs5" localSheetId="13" hidden="1">'13136 Un-chilled Biphasic'!$G$4</definedName>
    <definedName name="solver_lhs5" localSheetId="15" hidden="1">'13136PC_Biphasic'!$G$4</definedName>
    <definedName name="solver_lin" localSheetId="3" hidden="1">2</definedName>
    <definedName name="solver_lin" localSheetId="1" hidden="1">2</definedName>
    <definedName name="solver_lin" localSheetId="5" hidden="1">2</definedName>
    <definedName name="solver_lin" localSheetId="7" hidden="1">2</definedName>
    <definedName name="solver_lin" localSheetId="11" hidden="1">2</definedName>
    <definedName name="solver_lin" localSheetId="9" hidden="1">2</definedName>
    <definedName name="solver_lin" localSheetId="13" hidden="1">2</definedName>
    <definedName name="solver_lin" localSheetId="15" hidden="1">2</definedName>
    <definedName name="solver_neg" localSheetId="3" hidden="1">2</definedName>
    <definedName name="solver_neg" localSheetId="1" hidden="1">2</definedName>
    <definedName name="solver_neg" localSheetId="5" hidden="1">2</definedName>
    <definedName name="solver_neg" localSheetId="7" hidden="1">2</definedName>
    <definedName name="solver_neg" localSheetId="11" hidden="1">2</definedName>
    <definedName name="solver_neg" localSheetId="9" hidden="1">2</definedName>
    <definedName name="solver_neg" localSheetId="13" hidden="1">2</definedName>
    <definedName name="solver_neg" localSheetId="15" hidden="1">2</definedName>
    <definedName name="solver_num" localSheetId="3" hidden="1">0</definedName>
    <definedName name="solver_num" localSheetId="1" hidden="1">0</definedName>
    <definedName name="solver_num" localSheetId="5" hidden="1">0</definedName>
    <definedName name="solver_num" localSheetId="7" hidden="1">0</definedName>
    <definedName name="solver_num" localSheetId="11" hidden="1">0</definedName>
    <definedName name="solver_num" localSheetId="9" hidden="1">0</definedName>
    <definedName name="solver_num" localSheetId="13" hidden="1">0</definedName>
    <definedName name="solver_num" localSheetId="15" hidden="1">0</definedName>
    <definedName name="solver_nwt" localSheetId="3" hidden="1">2</definedName>
    <definedName name="solver_nwt" localSheetId="1" hidden="1">2</definedName>
    <definedName name="solver_nwt" localSheetId="5" hidden="1">2</definedName>
    <definedName name="solver_nwt" localSheetId="7" hidden="1">2</definedName>
    <definedName name="solver_nwt" localSheetId="11" hidden="1">2</definedName>
    <definedName name="solver_nwt" localSheetId="9" hidden="1">2</definedName>
    <definedName name="solver_nwt" localSheetId="13" hidden="1">2</definedName>
    <definedName name="solver_nwt" localSheetId="15" hidden="1">2</definedName>
    <definedName name="solver_opt" localSheetId="3" hidden="1">'12628 Pre-chilled Geeraerd_Tail'!$D$20</definedName>
    <definedName name="solver_opt" localSheetId="1" hidden="1">'12628 Un-chilled Albert'!$D$20</definedName>
    <definedName name="solver_opt" localSheetId="5" hidden="1">'12662 Un-chilled Biphasic'!$D$20</definedName>
    <definedName name="solver_opt" localSheetId="7" hidden="1">'12662PC_Geeraerd_Tail'!$D$20</definedName>
    <definedName name="solver_opt" localSheetId="11" hidden="1">'13126 Pre-chilled_Geeraerd_Tail'!$D$20</definedName>
    <definedName name="solver_opt" localSheetId="9" hidden="1">'13126 Un-chilled Geeraerd_Tail'!$D$20</definedName>
    <definedName name="solver_opt" localSheetId="13" hidden="1">'13136 Un-chilled Biphasic'!$D$20</definedName>
    <definedName name="solver_opt" localSheetId="15" hidden="1">'13136PC_Biphasic'!$D$20</definedName>
    <definedName name="solver_pre" localSheetId="3" hidden="1">0.000000000001</definedName>
    <definedName name="solver_pre" localSheetId="1" hidden="1">0.000000000001</definedName>
    <definedName name="solver_pre" localSheetId="5" hidden="1">0.000000000001</definedName>
    <definedName name="solver_pre" localSheetId="7" hidden="1">0.000000000001</definedName>
    <definedName name="solver_pre" localSheetId="11" hidden="1">0.000000000001</definedName>
    <definedName name="solver_pre" localSheetId="9" hidden="1">0.000000000001</definedName>
    <definedName name="solver_pre" localSheetId="13" hidden="1">0.000000000001</definedName>
    <definedName name="solver_pre" localSheetId="15" hidden="1">0.000000000001</definedName>
    <definedName name="solver_rel1" localSheetId="3" hidden="1">3</definedName>
    <definedName name="solver_rel1" localSheetId="1" hidden="1">3</definedName>
    <definedName name="solver_rel1" localSheetId="5" hidden="1">3</definedName>
    <definedName name="solver_rel1" localSheetId="7" hidden="1">3</definedName>
    <definedName name="solver_rel1" localSheetId="11" hidden="1">3</definedName>
    <definedName name="solver_rel1" localSheetId="9" hidden="1">3</definedName>
    <definedName name="solver_rel1" localSheetId="13" hidden="1">3</definedName>
    <definedName name="solver_rel1" localSheetId="15" hidden="1">3</definedName>
    <definedName name="solver_rel2" localSheetId="1" hidden="1">3</definedName>
    <definedName name="solver_rel2" localSheetId="5" hidden="1">3</definedName>
    <definedName name="solver_rel2" localSheetId="13" hidden="1">3</definedName>
    <definedName name="solver_rel2" localSheetId="15" hidden="1">3</definedName>
    <definedName name="solver_rel3" localSheetId="1" hidden="1">3</definedName>
    <definedName name="solver_rel3" localSheetId="5" hidden="1">3</definedName>
    <definedName name="solver_rel3" localSheetId="13" hidden="1">3</definedName>
    <definedName name="solver_rel3" localSheetId="15" hidden="1">3</definedName>
    <definedName name="solver_rel4" localSheetId="1" hidden="1">3</definedName>
    <definedName name="solver_rel4" localSheetId="5" hidden="1">3</definedName>
    <definedName name="solver_rel4" localSheetId="13" hidden="1">3</definedName>
    <definedName name="solver_rel4" localSheetId="15" hidden="1">3</definedName>
    <definedName name="solver_rel5" localSheetId="1" hidden="1">3</definedName>
    <definedName name="solver_rel5" localSheetId="5" hidden="1">3</definedName>
    <definedName name="solver_rel5" localSheetId="13" hidden="1">3</definedName>
    <definedName name="solver_rel5" localSheetId="15" hidden="1">3</definedName>
    <definedName name="solver_rhs1" localSheetId="3" hidden="1">'12628 Pre-chilled Geeraerd_Tail'!$J$1</definedName>
    <definedName name="solver_rhs1" localSheetId="1" hidden="1">'12628 Un-chilled Albert'!$J$1</definedName>
    <definedName name="solver_rhs1" localSheetId="5" hidden="1">'12662 Un-chilled Biphasic'!$J$1</definedName>
    <definedName name="solver_rhs1" localSheetId="7" hidden="1">'12662PC_Geeraerd_Tail'!$J$1</definedName>
    <definedName name="solver_rhs1" localSheetId="11" hidden="1">'13126 Pre-chilled_Geeraerd_Tail'!$J$1</definedName>
    <definedName name="solver_rhs1" localSheetId="9" hidden="1">'13126 Un-chilled Geeraerd_Tail'!$J$1</definedName>
    <definedName name="solver_rhs1" localSheetId="13" hidden="1">'13136 Un-chilled Biphasic'!$J$1</definedName>
    <definedName name="solver_rhs1" localSheetId="15" hidden="1">'13136PC_Biphasic'!$J$1</definedName>
    <definedName name="solver_rhs2" localSheetId="1" hidden="1">'12628 Un-chilled Albert'!$J$1</definedName>
    <definedName name="solver_rhs2" localSheetId="5" hidden="1">'12662 Un-chilled Biphasic'!$J$1</definedName>
    <definedName name="solver_rhs2" localSheetId="13" hidden="1">'13136 Un-chilled Biphasic'!$J$1</definedName>
    <definedName name="solver_rhs2" localSheetId="15" hidden="1">'13136PC_Biphasic'!$J$1</definedName>
    <definedName name="solver_rhs3" localSheetId="1" hidden="1">'12628 Un-chilled Albert'!$G$4</definedName>
    <definedName name="solver_rhs3" localSheetId="5" hidden="1">'12662 Un-chilled Biphasic'!$G$4</definedName>
    <definedName name="solver_rhs3" localSheetId="13" hidden="1">'13136 Un-chilled Biphasic'!$G$4</definedName>
    <definedName name="solver_rhs3" localSheetId="15" hidden="1">'13136PC_Biphasic'!$G$4</definedName>
    <definedName name="solver_rhs4" localSheetId="1" hidden="1">'12628 Un-chilled Albert'!$J$1</definedName>
    <definedName name="solver_rhs4" localSheetId="5" hidden="1">'12662 Un-chilled Biphasic'!$J$1</definedName>
    <definedName name="solver_rhs4" localSheetId="13" hidden="1">'13136 Un-chilled Biphasic'!$J$1</definedName>
    <definedName name="solver_rhs4" localSheetId="15" hidden="1">'13136PC_Biphasic'!$J$1</definedName>
    <definedName name="solver_rhs5" localSheetId="1" hidden="1">'12628 Un-chilled Albert'!$J$1</definedName>
    <definedName name="solver_rhs5" localSheetId="5" hidden="1">'12662 Un-chilled Biphasic'!$J$1</definedName>
    <definedName name="solver_rhs5" localSheetId="13" hidden="1">'13136 Un-chilled Biphasic'!$J$1</definedName>
    <definedName name="solver_rhs5" localSheetId="15" hidden="1">'13136PC_Biphasic'!$J$1</definedName>
    <definedName name="solver_scl" localSheetId="3" hidden="1">0</definedName>
    <definedName name="solver_scl" localSheetId="1" hidden="1">0</definedName>
    <definedName name="solver_scl" localSheetId="5" hidden="1">0</definedName>
    <definedName name="solver_scl" localSheetId="7" hidden="1">0</definedName>
    <definedName name="solver_scl" localSheetId="11" hidden="1">0</definedName>
    <definedName name="solver_scl" localSheetId="9" hidden="1">0</definedName>
    <definedName name="solver_scl" localSheetId="13" hidden="1">0</definedName>
    <definedName name="solver_scl" localSheetId="15" hidden="1">0</definedName>
    <definedName name="solver_sho" localSheetId="3" hidden="1">2</definedName>
    <definedName name="solver_sho" localSheetId="1" hidden="1">2</definedName>
    <definedName name="solver_sho" localSheetId="5" hidden="1">2</definedName>
    <definedName name="solver_sho" localSheetId="7" hidden="1">2</definedName>
    <definedName name="solver_sho" localSheetId="11" hidden="1">2</definedName>
    <definedName name="solver_sho" localSheetId="9" hidden="1">2</definedName>
    <definedName name="solver_sho" localSheetId="13" hidden="1">2</definedName>
    <definedName name="solver_sho" localSheetId="15" hidden="1">2</definedName>
    <definedName name="solver_tim" localSheetId="3" hidden="1">100</definedName>
    <definedName name="solver_tim" localSheetId="1" hidden="1">100</definedName>
    <definedName name="solver_tim" localSheetId="5" hidden="1">100</definedName>
    <definedName name="solver_tim" localSheetId="7" hidden="1">100</definedName>
    <definedName name="solver_tim" localSheetId="11" hidden="1">100</definedName>
    <definedName name="solver_tim" localSheetId="9" hidden="1">100</definedName>
    <definedName name="solver_tim" localSheetId="13" hidden="1">100</definedName>
    <definedName name="solver_tim" localSheetId="15" hidden="1">100</definedName>
    <definedName name="solver_tol" localSheetId="3" hidden="1">0.05</definedName>
    <definedName name="solver_tol" localSheetId="1" hidden="1">0.05</definedName>
    <definedName name="solver_tol" localSheetId="5" hidden="1">0.05</definedName>
    <definedName name="solver_tol" localSheetId="7" hidden="1">0.05</definedName>
    <definedName name="solver_tol" localSheetId="11" hidden="1">0.05</definedName>
    <definedName name="solver_tol" localSheetId="9" hidden="1">0.05</definedName>
    <definedName name="solver_tol" localSheetId="13" hidden="1">0.05</definedName>
    <definedName name="solver_tol" localSheetId="15" hidden="1">0.05</definedName>
    <definedName name="solver_typ" localSheetId="3" hidden="1">2</definedName>
    <definedName name="solver_typ" localSheetId="1" hidden="1">2</definedName>
    <definedName name="solver_typ" localSheetId="5" hidden="1">2</definedName>
    <definedName name="solver_typ" localSheetId="7" hidden="1">2</definedName>
    <definedName name="solver_typ" localSheetId="11" hidden="1">2</definedName>
    <definedName name="solver_typ" localSheetId="9" hidden="1">2</definedName>
    <definedName name="solver_typ" localSheetId="13" hidden="1">2</definedName>
    <definedName name="solver_typ" localSheetId="15" hidden="1">2</definedName>
    <definedName name="solver_val" localSheetId="3" hidden="1">0</definedName>
    <definedName name="solver_val" localSheetId="1" hidden="1">0</definedName>
    <definedName name="solver_val" localSheetId="5" hidden="1">0</definedName>
    <definedName name="solver_val" localSheetId="7" hidden="1">0</definedName>
    <definedName name="solver_val" localSheetId="11" hidden="1">0</definedName>
    <definedName name="solver_val" localSheetId="9" hidden="1">0</definedName>
    <definedName name="solver_val" localSheetId="13" hidden="1">0</definedName>
    <definedName name="solver_val" localSheetId="15" hidden="1">0</definedName>
  </definedNames>
  <calcPr calcId="152511"/>
</workbook>
</file>

<file path=xl/calcChain.xml><?xml version="1.0" encoding="utf-8"?>
<calcChain xmlns="http://schemas.openxmlformats.org/spreadsheetml/2006/main">
  <c r="F145" i="78" l="1"/>
  <c r="F144" i="78"/>
  <c r="F143" i="78"/>
  <c r="F142" i="78"/>
  <c r="F141" i="78"/>
  <c r="F140" i="78"/>
  <c r="F139" i="78"/>
  <c r="F138" i="78"/>
  <c r="F137" i="78"/>
  <c r="F136" i="78"/>
  <c r="F135" i="78"/>
  <c r="F134" i="78"/>
  <c r="F133" i="78"/>
  <c r="F132" i="78"/>
  <c r="F131" i="78"/>
  <c r="F130" i="78"/>
  <c r="F129" i="78"/>
  <c r="F128" i="78"/>
  <c r="F127" i="78"/>
  <c r="F126" i="78"/>
  <c r="F125" i="78"/>
  <c r="F124" i="78"/>
  <c r="F123" i="78"/>
  <c r="F122" i="78"/>
  <c r="F121" i="78"/>
  <c r="F120" i="78"/>
  <c r="F119" i="78"/>
  <c r="F118" i="78"/>
  <c r="F117" i="78"/>
  <c r="F116" i="78"/>
  <c r="F115" i="78"/>
  <c r="F114" i="78"/>
  <c r="F113" i="78"/>
  <c r="F112" i="78"/>
  <c r="F111" i="78"/>
  <c r="F110" i="78"/>
  <c r="F109" i="78"/>
  <c r="F108" i="78"/>
  <c r="F107" i="78"/>
  <c r="F106" i="78"/>
  <c r="F105" i="78"/>
  <c r="F104" i="78"/>
  <c r="F103" i="78"/>
  <c r="F102" i="78"/>
  <c r="F101" i="78"/>
  <c r="F100" i="78"/>
  <c r="F99" i="78"/>
  <c r="F98" i="78"/>
  <c r="F96" i="78"/>
  <c r="F95" i="78"/>
  <c r="F94" i="78"/>
  <c r="F93" i="78"/>
  <c r="F92" i="78"/>
  <c r="F91" i="78"/>
  <c r="F90" i="78"/>
  <c r="F89" i="78"/>
  <c r="F88" i="78"/>
  <c r="F87" i="78"/>
  <c r="F86" i="78"/>
  <c r="F85" i="78"/>
  <c r="F84" i="78"/>
  <c r="F83" i="78"/>
  <c r="F82" i="78"/>
  <c r="F81" i="78"/>
  <c r="F80" i="78"/>
  <c r="F79" i="78"/>
  <c r="F78" i="78"/>
  <c r="F77" i="78"/>
  <c r="F76" i="78"/>
  <c r="F75" i="78"/>
  <c r="F74" i="78"/>
  <c r="F73" i="78"/>
  <c r="F72" i="78"/>
  <c r="F71" i="78"/>
  <c r="F70" i="78"/>
  <c r="F69" i="78"/>
  <c r="F68" i="78"/>
  <c r="F67" i="78"/>
  <c r="F66" i="78"/>
  <c r="F65" i="78"/>
  <c r="F64" i="78"/>
  <c r="F63" i="78"/>
  <c r="F62" i="78"/>
  <c r="F61" i="78"/>
  <c r="F60" i="78"/>
  <c r="F59" i="78"/>
  <c r="F58" i="78"/>
  <c r="F57" i="78"/>
  <c r="F56" i="78"/>
  <c r="F55" i="78"/>
  <c r="F54" i="78"/>
  <c r="F53" i="78"/>
  <c r="F52" i="78"/>
  <c r="F51" i="78"/>
  <c r="F50" i="78"/>
  <c r="F49" i="78"/>
  <c r="F48" i="78"/>
  <c r="F47" i="78"/>
  <c r="F46" i="78"/>
  <c r="F45" i="78"/>
  <c r="F44" i="78"/>
  <c r="F43" i="78"/>
  <c r="F42" i="78"/>
  <c r="F41" i="78"/>
  <c r="F40" i="78"/>
  <c r="F39" i="78"/>
  <c r="F38" i="78"/>
  <c r="F37" i="78"/>
  <c r="F36" i="78"/>
  <c r="F35" i="78"/>
  <c r="F34" i="78"/>
  <c r="F33" i="78"/>
  <c r="F32" i="78"/>
  <c r="F31" i="78"/>
  <c r="F30" i="78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6" i="78"/>
  <c r="F15" i="78"/>
  <c r="F14" i="78"/>
  <c r="F13" i="78"/>
  <c r="F12" i="78"/>
  <c r="F11" i="78"/>
  <c r="F10" i="78"/>
  <c r="F9" i="78"/>
  <c r="F8" i="78"/>
  <c r="F7" i="78"/>
  <c r="F6" i="78"/>
  <c r="F5" i="78"/>
  <c r="F4" i="78"/>
  <c r="F3" i="78"/>
  <c r="F2" i="78"/>
  <c r="M3" i="73" l="1"/>
  <c r="C122" i="73"/>
  <c r="C121" i="73"/>
  <c r="C120" i="73"/>
  <c r="C119" i="73"/>
  <c r="C118" i="73"/>
  <c r="C117" i="73"/>
  <c r="C116" i="73"/>
  <c r="C115" i="73"/>
  <c r="C114" i="73"/>
  <c r="C113" i="73"/>
  <c r="C112" i="73"/>
  <c r="C111" i="73"/>
  <c r="C110" i="73"/>
  <c r="C109" i="73"/>
  <c r="C108" i="73"/>
  <c r="C107" i="73"/>
  <c r="C106" i="73"/>
  <c r="C105" i="73"/>
  <c r="C104" i="73"/>
  <c r="C103" i="73"/>
  <c r="C102" i="73"/>
  <c r="C101" i="73"/>
  <c r="C100" i="73"/>
  <c r="C99" i="73"/>
  <c r="C98" i="73"/>
  <c r="C97" i="73"/>
  <c r="C96" i="73"/>
  <c r="C95" i="73"/>
  <c r="C94" i="73"/>
  <c r="C93" i="73"/>
  <c r="C92" i="73"/>
  <c r="C91" i="73"/>
  <c r="C90" i="73"/>
  <c r="C89" i="73"/>
  <c r="C88" i="73"/>
  <c r="C87" i="73"/>
  <c r="C86" i="73"/>
  <c r="C85" i="73"/>
  <c r="C84" i="73"/>
  <c r="C83" i="73"/>
  <c r="C82" i="73"/>
  <c r="C81" i="73"/>
  <c r="C80" i="73"/>
  <c r="C79" i="73"/>
  <c r="C78" i="73"/>
  <c r="C77" i="73"/>
  <c r="C76" i="73"/>
  <c r="C75" i="73"/>
  <c r="C74" i="73"/>
  <c r="C73" i="73"/>
  <c r="C72" i="73"/>
  <c r="C71" i="73"/>
  <c r="C70" i="73"/>
  <c r="C69" i="73"/>
  <c r="C68" i="73"/>
  <c r="C67" i="73"/>
  <c r="C66" i="73"/>
  <c r="C65" i="73"/>
  <c r="C64" i="73"/>
  <c r="C63" i="73"/>
  <c r="C62" i="73"/>
  <c r="C61" i="73"/>
  <c r="C60" i="73"/>
  <c r="C59" i="73"/>
  <c r="C58" i="73"/>
  <c r="C57" i="73"/>
  <c r="C56" i="73"/>
  <c r="C55" i="73"/>
  <c r="C54" i="73"/>
  <c r="C53" i="73"/>
  <c r="C52" i="73"/>
  <c r="C51" i="73"/>
  <c r="C50" i="73"/>
  <c r="C49" i="73"/>
  <c r="C48" i="73"/>
  <c r="C47" i="73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3" i="73"/>
  <c r="C19" i="73"/>
  <c r="D19" i="73" s="1"/>
  <c r="C18" i="73"/>
  <c r="D18" i="73" s="1"/>
  <c r="C17" i="73"/>
  <c r="D17" i="73" s="1"/>
  <c r="C16" i="73"/>
  <c r="D16" i="73" s="1"/>
  <c r="C15" i="73"/>
  <c r="D15" i="73" s="1"/>
  <c r="C14" i="73"/>
  <c r="D14" i="73" s="1"/>
  <c r="C13" i="73"/>
  <c r="D13" i="73" s="1"/>
  <c r="C12" i="73"/>
  <c r="D12" i="73" s="1"/>
  <c r="C11" i="73"/>
  <c r="D11" i="73" s="1"/>
  <c r="C10" i="73"/>
  <c r="D10" i="73" s="1"/>
  <c r="C9" i="73"/>
  <c r="D9" i="73" s="1"/>
  <c r="C8" i="73"/>
  <c r="D8" i="73" s="1"/>
  <c r="C7" i="73"/>
  <c r="D7" i="73" s="1"/>
  <c r="C6" i="73"/>
  <c r="D6" i="73" s="1"/>
  <c r="C5" i="73"/>
  <c r="D5" i="73" s="1"/>
  <c r="C4" i="73"/>
  <c r="D4" i="73" s="1"/>
  <c r="C3" i="73"/>
  <c r="D3" i="73" s="1"/>
  <c r="C2" i="73"/>
  <c r="D2" i="73" s="1"/>
  <c r="D20" i="73" l="1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3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49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3" i="17"/>
  <c r="C384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6" i="17"/>
  <c r="C417" i="17"/>
  <c r="C418" i="17"/>
  <c r="C419" i="17"/>
  <c r="C420" i="17"/>
  <c r="C421" i="17"/>
  <c r="C422" i="17"/>
  <c r="C423" i="1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C103" i="47"/>
  <c r="C104" i="47"/>
  <c r="C105" i="47"/>
  <c r="C106" i="47"/>
  <c r="C107" i="47"/>
  <c r="C108" i="47"/>
  <c r="C109" i="47"/>
  <c r="C110" i="47"/>
  <c r="C111" i="47"/>
  <c r="C112" i="47"/>
  <c r="C113" i="47"/>
  <c r="C114" i="47"/>
  <c r="C115" i="47"/>
  <c r="C116" i="47"/>
  <c r="C117" i="47"/>
  <c r="C118" i="47"/>
  <c r="C119" i="47"/>
  <c r="C120" i="47"/>
  <c r="C121" i="47"/>
  <c r="C122" i="47"/>
  <c r="C123" i="47"/>
  <c r="C124" i="47"/>
  <c r="C125" i="47"/>
  <c r="C126" i="47"/>
  <c r="C127" i="47"/>
  <c r="C128" i="47"/>
  <c r="C129" i="47"/>
  <c r="C130" i="47"/>
  <c r="C131" i="47"/>
  <c r="C132" i="47"/>
  <c r="C133" i="47"/>
  <c r="C134" i="47"/>
  <c r="C135" i="47"/>
  <c r="C136" i="47"/>
  <c r="C137" i="47"/>
  <c r="C138" i="47"/>
  <c r="C139" i="47"/>
  <c r="C140" i="47"/>
  <c r="C141" i="47"/>
  <c r="C142" i="47"/>
  <c r="C143" i="47"/>
  <c r="C144" i="47"/>
  <c r="C145" i="47"/>
  <c r="C146" i="47"/>
  <c r="C147" i="47"/>
  <c r="C148" i="47"/>
  <c r="C149" i="47"/>
  <c r="C150" i="47"/>
  <c r="C151" i="47"/>
  <c r="C152" i="47"/>
  <c r="C153" i="47"/>
  <c r="C154" i="47"/>
  <c r="C155" i="47"/>
  <c r="C156" i="47"/>
  <c r="C157" i="47"/>
  <c r="C158" i="47"/>
  <c r="C159" i="47"/>
  <c r="C160" i="47"/>
  <c r="C161" i="47"/>
  <c r="C162" i="47"/>
  <c r="C163" i="47"/>
  <c r="C164" i="47"/>
  <c r="C165" i="47"/>
  <c r="C166" i="47"/>
  <c r="C167" i="47"/>
  <c r="C168" i="47"/>
  <c r="C169" i="47"/>
  <c r="C170" i="47"/>
  <c r="C171" i="47"/>
  <c r="C172" i="47"/>
  <c r="C173" i="47"/>
  <c r="C174" i="47"/>
  <c r="C175" i="47"/>
  <c r="C176" i="47"/>
  <c r="C177" i="47"/>
  <c r="C178" i="47"/>
  <c r="C179" i="47"/>
  <c r="C180" i="47"/>
  <c r="C181" i="47"/>
  <c r="C182" i="47"/>
  <c r="C183" i="47"/>
  <c r="C184" i="47"/>
  <c r="C185" i="47"/>
  <c r="C186" i="47"/>
  <c r="C187" i="47"/>
  <c r="C188" i="47"/>
  <c r="C189" i="47"/>
  <c r="C190" i="47"/>
  <c r="C191" i="47"/>
  <c r="C192" i="47"/>
  <c r="C193" i="47"/>
  <c r="C194" i="47"/>
  <c r="C195" i="47"/>
  <c r="C196" i="47"/>
  <c r="C197" i="47"/>
  <c r="C198" i="47"/>
  <c r="C199" i="47"/>
  <c r="C200" i="47"/>
  <c r="C201" i="47"/>
  <c r="C202" i="47"/>
  <c r="C203" i="47"/>
  <c r="C204" i="47"/>
  <c r="C205" i="47"/>
  <c r="C206" i="47"/>
  <c r="C207" i="47"/>
  <c r="C208" i="47"/>
  <c r="C209" i="47"/>
  <c r="C210" i="47"/>
  <c r="C211" i="47"/>
  <c r="C212" i="47"/>
  <c r="C213" i="47"/>
  <c r="C214" i="47"/>
  <c r="C215" i="47"/>
  <c r="C216" i="47"/>
  <c r="C217" i="47"/>
  <c r="C218" i="47"/>
  <c r="C219" i="47"/>
  <c r="C220" i="47"/>
  <c r="C221" i="47"/>
  <c r="C222" i="47"/>
  <c r="C223" i="47"/>
  <c r="C224" i="47"/>
  <c r="C225" i="47"/>
  <c r="C226" i="47"/>
  <c r="C227" i="47"/>
  <c r="C228" i="47"/>
  <c r="C229" i="47"/>
  <c r="C230" i="47"/>
  <c r="C231" i="47"/>
  <c r="C232" i="47"/>
  <c r="C233" i="47"/>
  <c r="C234" i="47"/>
  <c r="C235" i="47"/>
  <c r="C236" i="47"/>
  <c r="C237" i="47"/>
  <c r="C238" i="47"/>
  <c r="C239" i="47"/>
  <c r="C240" i="47"/>
  <c r="C241" i="47"/>
  <c r="C242" i="47"/>
  <c r="C243" i="47"/>
  <c r="C244" i="47"/>
  <c r="C245" i="47"/>
  <c r="C246" i="47"/>
  <c r="C247" i="47"/>
  <c r="C248" i="47"/>
  <c r="C249" i="47"/>
  <c r="C250" i="47"/>
  <c r="C251" i="47"/>
  <c r="C252" i="47"/>
  <c r="C253" i="47"/>
  <c r="C254" i="47"/>
  <c r="C255" i="47"/>
  <c r="C256" i="47"/>
  <c r="C257" i="47"/>
  <c r="C258" i="47"/>
  <c r="C259" i="47"/>
  <c r="C260" i="47"/>
  <c r="C261" i="47"/>
  <c r="C262" i="47"/>
  <c r="C263" i="47"/>
  <c r="C264" i="47"/>
  <c r="C265" i="47"/>
  <c r="C266" i="47"/>
  <c r="C267" i="47"/>
  <c r="C268" i="47"/>
  <c r="C269" i="47"/>
  <c r="C270" i="47"/>
  <c r="C271" i="47"/>
  <c r="C272" i="47"/>
  <c r="C273" i="47"/>
  <c r="C274" i="47"/>
  <c r="C275" i="47"/>
  <c r="C276" i="47"/>
  <c r="C277" i="47"/>
  <c r="C278" i="47"/>
  <c r="C279" i="47"/>
  <c r="C280" i="47"/>
  <c r="C281" i="47"/>
  <c r="C282" i="47"/>
  <c r="C283" i="47"/>
  <c r="C284" i="47"/>
  <c r="C285" i="47"/>
  <c r="C286" i="47"/>
  <c r="C287" i="47"/>
  <c r="C288" i="47"/>
  <c r="C289" i="47"/>
  <c r="C290" i="47"/>
  <c r="C291" i="47"/>
  <c r="C292" i="47"/>
  <c r="C293" i="47"/>
  <c r="C294" i="47"/>
  <c r="C295" i="47"/>
  <c r="C296" i="47"/>
  <c r="C297" i="47"/>
  <c r="C298" i="47"/>
  <c r="C299" i="47"/>
  <c r="C300" i="47"/>
  <c r="C301" i="47"/>
  <c r="C302" i="47"/>
  <c r="C303" i="47"/>
  <c r="C304" i="47"/>
  <c r="C305" i="47"/>
  <c r="C306" i="47"/>
  <c r="C307" i="47"/>
  <c r="C308" i="47"/>
  <c r="C309" i="47"/>
  <c r="C310" i="47"/>
  <c r="C311" i="47"/>
  <c r="C312" i="47"/>
  <c r="C313" i="47"/>
  <c r="C314" i="47"/>
  <c r="C315" i="47"/>
  <c r="C316" i="47"/>
  <c r="C317" i="47"/>
  <c r="C318" i="47"/>
  <c r="C319" i="47"/>
  <c r="C320" i="47"/>
  <c r="C321" i="47"/>
  <c r="C322" i="47"/>
  <c r="C323" i="47"/>
  <c r="C324" i="47"/>
  <c r="C325" i="47"/>
  <c r="C326" i="47"/>
  <c r="C327" i="47"/>
  <c r="C328" i="47"/>
  <c r="C329" i="47"/>
  <c r="C330" i="47"/>
  <c r="C331" i="47"/>
  <c r="C332" i="47"/>
  <c r="C333" i="47"/>
  <c r="C334" i="47"/>
  <c r="C335" i="47"/>
  <c r="C336" i="47"/>
  <c r="C337" i="47"/>
  <c r="C338" i="47"/>
  <c r="C339" i="47"/>
  <c r="C340" i="47"/>
  <c r="C341" i="47"/>
  <c r="C342" i="47"/>
  <c r="C343" i="47"/>
  <c r="C344" i="47"/>
  <c r="C345" i="47"/>
  <c r="C346" i="47"/>
  <c r="C347" i="47"/>
  <c r="C348" i="47"/>
  <c r="C349" i="47"/>
  <c r="C350" i="47"/>
  <c r="C351" i="47"/>
  <c r="C352" i="47"/>
  <c r="C353" i="47"/>
  <c r="C354" i="47"/>
  <c r="C355" i="47"/>
  <c r="C356" i="47"/>
  <c r="C357" i="47"/>
  <c r="C358" i="47"/>
  <c r="C359" i="47"/>
  <c r="C360" i="47"/>
  <c r="C361" i="47"/>
  <c r="C362" i="47"/>
  <c r="C363" i="47"/>
  <c r="C364" i="47"/>
  <c r="C365" i="47"/>
  <c r="C366" i="47"/>
  <c r="C367" i="47"/>
  <c r="C368" i="47"/>
  <c r="C369" i="47"/>
  <c r="C370" i="47"/>
  <c r="C371" i="47"/>
  <c r="C372" i="47"/>
  <c r="C373" i="47"/>
  <c r="C374" i="47"/>
  <c r="C375" i="47"/>
  <c r="C376" i="47"/>
  <c r="C377" i="47"/>
  <c r="C378" i="47"/>
  <c r="C379" i="47"/>
  <c r="C380" i="47"/>
  <c r="C381" i="47"/>
  <c r="C382" i="47"/>
  <c r="C383" i="47"/>
  <c r="C384" i="47"/>
  <c r="C385" i="47"/>
  <c r="C386" i="47"/>
  <c r="C387" i="47"/>
  <c r="C388" i="47"/>
  <c r="C389" i="47"/>
  <c r="C390" i="47"/>
  <c r="C391" i="47"/>
  <c r="C392" i="47"/>
  <c r="C393" i="47"/>
  <c r="C394" i="47"/>
  <c r="C395" i="47"/>
  <c r="C396" i="47"/>
  <c r="C397" i="47"/>
  <c r="C398" i="47"/>
  <c r="C399" i="47"/>
  <c r="C400" i="47"/>
  <c r="C401" i="47"/>
  <c r="C402" i="47"/>
  <c r="C403" i="47"/>
  <c r="C404" i="47"/>
  <c r="C405" i="47"/>
  <c r="C406" i="47"/>
  <c r="C407" i="47"/>
  <c r="C408" i="47"/>
  <c r="C409" i="47"/>
  <c r="C410" i="47"/>
  <c r="C411" i="47"/>
  <c r="C412" i="47"/>
  <c r="C413" i="47"/>
  <c r="C414" i="47"/>
  <c r="C415" i="47"/>
  <c r="C416" i="47"/>
  <c r="C417" i="47"/>
  <c r="C418" i="47"/>
  <c r="C419" i="47"/>
  <c r="C420" i="47"/>
  <c r="C421" i="47"/>
  <c r="C422" i="47"/>
  <c r="C423" i="47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9" i="40"/>
  <c r="C110" i="40"/>
  <c r="C111" i="40"/>
  <c r="C112" i="40"/>
  <c r="C113" i="40"/>
  <c r="C114" i="40"/>
  <c r="C115" i="40"/>
  <c r="C116" i="40"/>
  <c r="C117" i="40"/>
  <c r="C118" i="40"/>
  <c r="C119" i="40"/>
  <c r="C120" i="40"/>
  <c r="C121" i="40"/>
  <c r="C122" i="40"/>
  <c r="C123" i="40"/>
  <c r="C124" i="40"/>
  <c r="C125" i="40"/>
  <c r="C126" i="40"/>
  <c r="C127" i="40"/>
  <c r="C128" i="40"/>
  <c r="C129" i="40"/>
  <c r="C130" i="40"/>
  <c r="C131" i="40"/>
  <c r="C132" i="40"/>
  <c r="C133" i="40"/>
  <c r="C134" i="40"/>
  <c r="C135" i="40"/>
  <c r="C136" i="40"/>
  <c r="C137" i="40"/>
  <c r="C138" i="40"/>
  <c r="C139" i="40"/>
  <c r="C140" i="40"/>
  <c r="C141" i="40"/>
  <c r="C142" i="40"/>
  <c r="C143" i="40"/>
  <c r="C144" i="40"/>
  <c r="C145" i="40"/>
  <c r="C146" i="40"/>
  <c r="C147" i="40"/>
  <c r="C148" i="40"/>
  <c r="C149" i="40"/>
  <c r="C150" i="40"/>
  <c r="C151" i="40"/>
  <c r="C152" i="40"/>
  <c r="C153" i="40"/>
  <c r="C154" i="40"/>
  <c r="C155" i="40"/>
  <c r="C156" i="40"/>
  <c r="C157" i="40"/>
  <c r="C158" i="40"/>
  <c r="C159" i="40"/>
  <c r="C160" i="40"/>
  <c r="C161" i="40"/>
  <c r="C162" i="40"/>
  <c r="C163" i="40"/>
  <c r="C164" i="40"/>
  <c r="C165" i="40"/>
  <c r="C166" i="40"/>
  <c r="C167" i="40"/>
  <c r="C168" i="40"/>
  <c r="C169" i="40"/>
  <c r="C170" i="40"/>
  <c r="C171" i="40"/>
  <c r="C172" i="40"/>
  <c r="C173" i="40"/>
  <c r="C174" i="40"/>
  <c r="C175" i="40"/>
  <c r="C176" i="40"/>
  <c r="C177" i="40"/>
  <c r="C178" i="40"/>
  <c r="C179" i="40"/>
  <c r="C180" i="40"/>
  <c r="C181" i="40"/>
  <c r="C182" i="40"/>
  <c r="C183" i="40"/>
  <c r="C184" i="40"/>
  <c r="C185" i="40"/>
  <c r="C186" i="40"/>
  <c r="C187" i="40"/>
  <c r="C188" i="40"/>
  <c r="C189" i="40"/>
  <c r="C190" i="40"/>
  <c r="C191" i="40"/>
  <c r="C192" i="40"/>
  <c r="C193" i="40"/>
  <c r="C194" i="40"/>
  <c r="C195" i="40"/>
  <c r="C196" i="40"/>
  <c r="C197" i="40"/>
  <c r="C198" i="40"/>
  <c r="C199" i="40"/>
  <c r="C200" i="40"/>
  <c r="C201" i="40"/>
  <c r="C202" i="40"/>
  <c r="C203" i="40"/>
  <c r="C204" i="40"/>
  <c r="C205" i="40"/>
  <c r="C206" i="40"/>
  <c r="C207" i="40"/>
  <c r="C208" i="40"/>
  <c r="C209" i="40"/>
  <c r="C210" i="40"/>
  <c r="C211" i="40"/>
  <c r="C212" i="40"/>
  <c r="C213" i="40"/>
  <c r="C214" i="40"/>
  <c r="C215" i="40"/>
  <c r="C216" i="40"/>
  <c r="C217" i="40"/>
  <c r="C218" i="40"/>
  <c r="C219" i="40"/>
  <c r="C220" i="40"/>
  <c r="C221" i="40"/>
  <c r="C222" i="40"/>
  <c r="C223" i="40"/>
  <c r="C224" i="40"/>
  <c r="C225" i="40"/>
  <c r="C226" i="40"/>
  <c r="C227" i="40"/>
  <c r="C228" i="40"/>
  <c r="C229" i="40"/>
  <c r="C230" i="40"/>
  <c r="C231" i="40"/>
  <c r="C232" i="40"/>
  <c r="C233" i="40"/>
  <c r="C234" i="40"/>
  <c r="C235" i="40"/>
  <c r="C236" i="40"/>
  <c r="C237" i="40"/>
  <c r="C238" i="40"/>
  <c r="C239" i="40"/>
  <c r="C240" i="40"/>
  <c r="C241" i="40"/>
  <c r="C242" i="40"/>
  <c r="C243" i="40"/>
  <c r="C244" i="40"/>
  <c r="C245" i="40"/>
  <c r="C246" i="40"/>
  <c r="C247" i="40"/>
  <c r="C248" i="40"/>
  <c r="C249" i="40"/>
  <c r="C250" i="40"/>
  <c r="C251" i="40"/>
  <c r="C252" i="40"/>
  <c r="C253" i="40"/>
  <c r="C254" i="40"/>
  <c r="C255" i="40"/>
  <c r="C256" i="40"/>
  <c r="C257" i="40"/>
  <c r="C258" i="40"/>
  <c r="C259" i="40"/>
  <c r="C260" i="40"/>
  <c r="C261" i="40"/>
  <c r="C262" i="40"/>
  <c r="C263" i="40"/>
  <c r="C264" i="40"/>
  <c r="C265" i="40"/>
  <c r="C266" i="40"/>
  <c r="C267" i="40"/>
  <c r="C268" i="40"/>
  <c r="C269" i="40"/>
  <c r="C270" i="40"/>
  <c r="C271" i="40"/>
  <c r="C272" i="40"/>
  <c r="C273" i="40"/>
  <c r="C274" i="40"/>
  <c r="C275" i="40"/>
  <c r="C276" i="40"/>
  <c r="C277" i="40"/>
  <c r="C278" i="40"/>
  <c r="C279" i="40"/>
  <c r="C280" i="40"/>
  <c r="C281" i="40"/>
  <c r="C282" i="40"/>
  <c r="C283" i="40"/>
  <c r="C284" i="40"/>
  <c r="C285" i="40"/>
  <c r="C286" i="40"/>
  <c r="C287" i="40"/>
  <c r="C288" i="40"/>
  <c r="C289" i="40"/>
  <c r="C290" i="40"/>
  <c r="C291" i="40"/>
  <c r="C292" i="40"/>
  <c r="C293" i="40"/>
  <c r="C294" i="40"/>
  <c r="C295" i="40"/>
  <c r="C296" i="40"/>
  <c r="C297" i="40"/>
  <c r="C298" i="40"/>
  <c r="C299" i="40"/>
  <c r="C300" i="40"/>
  <c r="C301" i="40"/>
  <c r="C302" i="40"/>
  <c r="C303" i="40"/>
  <c r="C304" i="40"/>
  <c r="C305" i="40"/>
  <c r="C306" i="40"/>
  <c r="C307" i="40"/>
  <c r="C308" i="40"/>
  <c r="C309" i="40"/>
  <c r="C310" i="40"/>
  <c r="C311" i="40"/>
  <c r="C312" i="40"/>
  <c r="C313" i="40"/>
  <c r="C314" i="40"/>
  <c r="C315" i="40"/>
  <c r="C316" i="40"/>
  <c r="C317" i="40"/>
  <c r="C318" i="40"/>
  <c r="C319" i="40"/>
  <c r="C320" i="40"/>
  <c r="C321" i="40"/>
  <c r="C322" i="40"/>
  <c r="C323" i="40"/>
  <c r="C324" i="40"/>
  <c r="C325" i="40"/>
  <c r="C326" i="40"/>
  <c r="C327" i="40"/>
  <c r="C328" i="40"/>
  <c r="C329" i="40"/>
  <c r="C330" i="40"/>
  <c r="C331" i="40"/>
  <c r="C332" i="40"/>
  <c r="C333" i="40"/>
  <c r="C334" i="40"/>
  <c r="C335" i="40"/>
  <c r="C336" i="40"/>
  <c r="C337" i="40"/>
  <c r="C338" i="40"/>
  <c r="C339" i="40"/>
  <c r="C340" i="40"/>
  <c r="C341" i="40"/>
  <c r="C342" i="40"/>
  <c r="C343" i="40"/>
  <c r="C344" i="40"/>
  <c r="C345" i="40"/>
  <c r="C346" i="40"/>
  <c r="C347" i="40"/>
  <c r="C348" i="40"/>
  <c r="C349" i="40"/>
  <c r="C350" i="40"/>
  <c r="C351" i="40"/>
  <c r="C352" i="40"/>
  <c r="C353" i="40"/>
  <c r="C354" i="40"/>
  <c r="C355" i="40"/>
  <c r="C356" i="40"/>
  <c r="C357" i="40"/>
  <c r="C358" i="40"/>
  <c r="C359" i="40"/>
  <c r="C360" i="40"/>
  <c r="C361" i="40"/>
  <c r="C362" i="40"/>
  <c r="C363" i="40"/>
  <c r="C364" i="40"/>
  <c r="C365" i="40"/>
  <c r="C366" i="40"/>
  <c r="C367" i="40"/>
  <c r="C368" i="40"/>
  <c r="C369" i="40"/>
  <c r="C370" i="40"/>
  <c r="C371" i="40"/>
  <c r="C372" i="40"/>
  <c r="C373" i="40"/>
  <c r="C374" i="40"/>
  <c r="C375" i="40"/>
  <c r="C376" i="40"/>
  <c r="C377" i="40"/>
  <c r="C378" i="40"/>
  <c r="C379" i="40"/>
  <c r="C380" i="40"/>
  <c r="C381" i="40"/>
  <c r="C382" i="40"/>
  <c r="C383" i="40"/>
  <c r="C384" i="40"/>
  <c r="C385" i="40"/>
  <c r="C386" i="40"/>
  <c r="C387" i="40"/>
  <c r="C388" i="40"/>
  <c r="C389" i="40"/>
  <c r="C390" i="40"/>
  <c r="C391" i="40"/>
  <c r="C392" i="40"/>
  <c r="C393" i="40"/>
  <c r="C394" i="40"/>
  <c r="C395" i="40"/>
  <c r="C396" i="40"/>
  <c r="C397" i="40"/>
  <c r="C398" i="40"/>
  <c r="C399" i="40"/>
  <c r="C400" i="40"/>
  <c r="C401" i="40"/>
  <c r="C402" i="40"/>
  <c r="C403" i="40"/>
  <c r="C404" i="40"/>
  <c r="C405" i="40"/>
  <c r="C406" i="40"/>
  <c r="C407" i="40"/>
  <c r="C408" i="40"/>
  <c r="C409" i="40"/>
  <c r="C410" i="40"/>
  <c r="C411" i="40"/>
  <c r="C412" i="40"/>
  <c r="C413" i="40"/>
  <c r="C414" i="40"/>
  <c r="C415" i="40"/>
  <c r="C416" i="40"/>
  <c r="C417" i="40"/>
  <c r="C418" i="40"/>
  <c r="C419" i="40"/>
  <c r="C420" i="40"/>
  <c r="C421" i="40"/>
  <c r="C422" i="40"/>
  <c r="C423" i="40"/>
  <c r="M3" i="63" l="1"/>
  <c r="C122" i="63"/>
  <c r="C121" i="63"/>
  <c r="C120" i="63"/>
  <c r="C119" i="63"/>
  <c r="C118" i="63"/>
  <c r="C117" i="63"/>
  <c r="C116" i="63"/>
  <c r="C115" i="63"/>
  <c r="C114" i="63"/>
  <c r="C113" i="63"/>
  <c r="C112" i="63"/>
  <c r="C111" i="63"/>
  <c r="C110" i="63"/>
  <c r="C109" i="63"/>
  <c r="C108" i="63"/>
  <c r="C107" i="63"/>
  <c r="C106" i="63"/>
  <c r="C105" i="63"/>
  <c r="C104" i="63"/>
  <c r="C103" i="63"/>
  <c r="C102" i="63"/>
  <c r="C101" i="63"/>
  <c r="C100" i="63"/>
  <c r="C99" i="63"/>
  <c r="C98" i="63"/>
  <c r="C97" i="63"/>
  <c r="C96" i="63"/>
  <c r="C95" i="63"/>
  <c r="C94" i="63"/>
  <c r="C93" i="63"/>
  <c r="C92" i="63"/>
  <c r="C91" i="63"/>
  <c r="C90" i="63"/>
  <c r="C89" i="63"/>
  <c r="C88" i="63"/>
  <c r="C87" i="63"/>
  <c r="C86" i="63"/>
  <c r="C85" i="63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19" i="63"/>
  <c r="D19" i="63" s="1"/>
  <c r="C18" i="63"/>
  <c r="D18" i="63" s="1"/>
  <c r="C17" i="63"/>
  <c r="D17" i="63" s="1"/>
  <c r="C16" i="63"/>
  <c r="D16" i="63" s="1"/>
  <c r="C15" i="63"/>
  <c r="D15" i="63" s="1"/>
  <c r="C14" i="63"/>
  <c r="D14" i="63" s="1"/>
  <c r="C13" i="63"/>
  <c r="D13" i="63" s="1"/>
  <c r="C12" i="63"/>
  <c r="D12" i="63" s="1"/>
  <c r="C11" i="63"/>
  <c r="D11" i="63" s="1"/>
  <c r="C10" i="63"/>
  <c r="D10" i="63" s="1"/>
  <c r="C9" i="63"/>
  <c r="D9" i="63" s="1"/>
  <c r="C8" i="63"/>
  <c r="D8" i="63" s="1"/>
  <c r="C7" i="63"/>
  <c r="D7" i="63" s="1"/>
  <c r="C6" i="63"/>
  <c r="D6" i="63" s="1"/>
  <c r="C5" i="63"/>
  <c r="D5" i="63" s="1"/>
  <c r="C4" i="63"/>
  <c r="D4" i="63" s="1"/>
  <c r="C3" i="63"/>
  <c r="D3" i="63" s="1"/>
  <c r="C2" i="63"/>
  <c r="D2" i="63" s="1"/>
  <c r="M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19" i="55"/>
  <c r="D19" i="55" s="1"/>
  <c r="C18" i="55"/>
  <c r="D18" i="55" s="1"/>
  <c r="C17" i="55"/>
  <c r="D17" i="55" s="1"/>
  <c r="C16" i="55"/>
  <c r="D16" i="55" s="1"/>
  <c r="C15" i="55"/>
  <c r="D15" i="55" s="1"/>
  <c r="C14" i="55"/>
  <c r="D14" i="55" s="1"/>
  <c r="C13" i="55"/>
  <c r="D13" i="55" s="1"/>
  <c r="C12" i="55"/>
  <c r="D12" i="55" s="1"/>
  <c r="C11" i="55"/>
  <c r="D11" i="55" s="1"/>
  <c r="C10" i="55"/>
  <c r="D10" i="55" s="1"/>
  <c r="C9" i="55"/>
  <c r="D9" i="55" s="1"/>
  <c r="C8" i="55"/>
  <c r="D8" i="55" s="1"/>
  <c r="C7" i="55"/>
  <c r="D7" i="55" s="1"/>
  <c r="C6" i="55"/>
  <c r="D6" i="55" s="1"/>
  <c r="C5" i="55"/>
  <c r="D5" i="55" s="1"/>
  <c r="C4" i="55"/>
  <c r="D4" i="55" s="1"/>
  <c r="C3" i="55"/>
  <c r="D3" i="55" s="1"/>
  <c r="C2" i="55"/>
  <c r="D2" i="55" s="1"/>
  <c r="F2" i="51"/>
  <c r="F8" i="51"/>
  <c r="F14" i="51"/>
  <c r="F3" i="51"/>
  <c r="F9" i="51"/>
  <c r="F15" i="51"/>
  <c r="F4" i="51"/>
  <c r="F10" i="51"/>
  <c r="F16" i="51"/>
  <c r="F5" i="51"/>
  <c r="F11" i="51"/>
  <c r="F17" i="51"/>
  <c r="F6" i="51"/>
  <c r="F12" i="51"/>
  <c r="F18" i="51"/>
  <c r="F7" i="51"/>
  <c r="F13" i="51"/>
  <c r="F19" i="51"/>
  <c r="F19" i="52"/>
  <c r="F13" i="52"/>
  <c r="F7" i="52"/>
  <c r="F18" i="52"/>
  <c r="F12" i="52"/>
  <c r="F6" i="52"/>
  <c r="F17" i="52"/>
  <c r="F11" i="52"/>
  <c r="F5" i="52"/>
  <c r="F16" i="52"/>
  <c r="F10" i="52"/>
  <c r="F4" i="52"/>
  <c r="F15" i="52"/>
  <c r="F9" i="52"/>
  <c r="F3" i="52"/>
  <c r="F14" i="52"/>
  <c r="F8" i="52"/>
  <c r="F2" i="52"/>
  <c r="M3" i="47"/>
  <c r="C24" i="47"/>
  <c r="C23" i="47"/>
  <c r="C19" i="47"/>
  <c r="D19" i="47" s="1"/>
  <c r="C18" i="47"/>
  <c r="D18" i="47" s="1"/>
  <c r="C17" i="47"/>
  <c r="D17" i="47" s="1"/>
  <c r="C16" i="47"/>
  <c r="D16" i="47" s="1"/>
  <c r="C15" i="47"/>
  <c r="D15" i="47" s="1"/>
  <c r="C14" i="47"/>
  <c r="D14" i="47" s="1"/>
  <c r="C13" i="47"/>
  <c r="D13" i="47" s="1"/>
  <c r="C12" i="47"/>
  <c r="D12" i="47" s="1"/>
  <c r="C11" i="47"/>
  <c r="D11" i="47" s="1"/>
  <c r="C10" i="47"/>
  <c r="D10" i="47" s="1"/>
  <c r="C9" i="47"/>
  <c r="D9" i="47" s="1"/>
  <c r="C8" i="47"/>
  <c r="D8" i="47" s="1"/>
  <c r="C7" i="47"/>
  <c r="D7" i="47" s="1"/>
  <c r="C6" i="47"/>
  <c r="D6" i="47" s="1"/>
  <c r="C5" i="47"/>
  <c r="D5" i="47" s="1"/>
  <c r="C4" i="47"/>
  <c r="D4" i="47" s="1"/>
  <c r="C3" i="47"/>
  <c r="D3" i="47" s="1"/>
  <c r="C2" i="47"/>
  <c r="D2" i="47" s="1"/>
  <c r="D20" i="63" l="1"/>
  <c r="D20" i="55"/>
  <c r="D20" i="47"/>
  <c r="M3" i="40"/>
  <c r="C24" i="40"/>
  <c r="C23" i="40"/>
  <c r="C19" i="40"/>
  <c r="D19" i="40" s="1"/>
  <c r="C18" i="40"/>
  <c r="D18" i="40" s="1"/>
  <c r="C17" i="40"/>
  <c r="D17" i="40" s="1"/>
  <c r="C16" i="40"/>
  <c r="D16" i="40" s="1"/>
  <c r="C15" i="40"/>
  <c r="D15" i="40" s="1"/>
  <c r="C14" i="40"/>
  <c r="D14" i="40" s="1"/>
  <c r="C13" i="40"/>
  <c r="D13" i="40" s="1"/>
  <c r="C12" i="40"/>
  <c r="D12" i="40" s="1"/>
  <c r="C11" i="40"/>
  <c r="D11" i="40" s="1"/>
  <c r="C10" i="40"/>
  <c r="D10" i="40" s="1"/>
  <c r="C9" i="40"/>
  <c r="D9" i="40" s="1"/>
  <c r="C8" i="40"/>
  <c r="D8" i="40" s="1"/>
  <c r="C7" i="40"/>
  <c r="D7" i="40" s="1"/>
  <c r="C6" i="40"/>
  <c r="D6" i="40" s="1"/>
  <c r="C5" i="40"/>
  <c r="D5" i="40" s="1"/>
  <c r="C4" i="40"/>
  <c r="D4" i="40" s="1"/>
  <c r="C3" i="40"/>
  <c r="D3" i="40" s="1"/>
  <c r="C2" i="40"/>
  <c r="D2" i="40" s="1"/>
  <c r="F19" i="37"/>
  <c r="F13" i="37"/>
  <c r="F7" i="37"/>
  <c r="F18" i="37"/>
  <c r="F12" i="37"/>
  <c r="F6" i="37"/>
  <c r="F17" i="37"/>
  <c r="F11" i="37"/>
  <c r="F5" i="37"/>
  <c r="F16" i="37"/>
  <c r="F10" i="37"/>
  <c r="F4" i="37"/>
  <c r="F15" i="37"/>
  <c r="F9" i="37"/>
  <c r="F3" i="37"/>
  <c r="F14" i="37"/>
  <c r="F8" i="37"/>
  <c r="F2" i="37"/>
  <c r="F19" i="38"/>
  <c r="F13" i="38"/>
  <c r="F7" i="38"/>
  <c r="F18" i="38"/>
  <c r="F12" i="38"/>
  <c r="F6" i="38"/>
  <c r="F17" i="38"/>
  <c r="F11" i="38"/>
  <c r="F5" i="38"/>
  <c r="F16" i="38"/>
  <c r="F10" i="38"/>
  <c r="F4" i="38"/>
  <c r="F15" i="38"/>
  <c r="F9" i="38"/>
  <c r="F3" i="38"/>
  <c r="F14" i="38"/>
  <c r="F8" i="38"/>
  <c r="F2" i="38"/>
  <c r="M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19" i="27"/>
  <c r="D19" i="27" s="1"/>
  <c r="C18" i="27"/>
  <c r="D18" i="27" s="1"/>
  <c r="C17" i="27"/>
  <c r="D17" i="27" s="1"/>
  <c r="C16" i="27"/>
  <c r="D16" i="27" s="1"/>
  <c r="C15" i="27"/>
  <c r="D15" i="27" s="1"/>
  <c r="C14" i="27"/>
  <c r="D14" i="27" s="1"/>
  <c r="C13" i="27"/>
  <c r="D13" i="27" s="1"/>
  <c r="C12" i="27"/>
  <c r="D12" i="27" s="1"/>
  <c r="C11" i="27"/>
  <c r="D11" i="27" s="1"/>
  <c r="C10" i="27"/>
  <c r="D10" i="27" s="1"/>
  <c r="C9" i="27"/>
  <c r="D9" i="27" s="1"/>
  <c r="C8" i="27"/>
  <c r="D8" i="27" s="1"/>
  <c r="C7" i="27"/>
  <c r="D7" i="27" s="1"/>
  <c r="C6" i="27"/>
  <c r="D6" i="27" s="1"/>
  <c r="C5" i="27"/>
  <c r="D5" i="27" s="1"/>
  <c r="C4" i="27"/>
  <c r="D4" i="27" s="1"/>
  <c r="C3" i="27"/>
  <c r="D3" i="27" s="1"/>
  <c r="C2" i="27"/>
  <c r="D2" i="27" s="1"/>
  <c r="F19" i="21"/>
  <c r="F13" i="21"/>
  <c r="F18" i="21"/>
  <c r="F12" i="21"/>
  <c r="F6" i="21"/>
  <c r="F17" i="21"/>
  <c r="F11" i="21"/>
  <c r="F5" i="21"/>
  <c r="F16" i="21"/>
  <c r="F10" i="21"/>
  <c r="F4" i="21"/>
  <c r="F15" i="21"/>
  <c r="F9" i="21"/>
  <c r="F3" i="21"/>
  <c r="F14" i="21"/>
  <c r="F8" i="21"/>
  <c r="F2" i="21"/>
  <c r="F19" i="22"/>
  <c r="F13" i="22"/>
  <c r="F7" i="22"/>
  <c r="F18" i="22"/>
  <c r="F12" i="22"/>
  <c r="F6" i="22"/>
  <c r="F17" i="22"/>
  <c r="F11" i="22"/>
  <c r="F5" i="22"/>
  <c r="F16" i="22"/>
  <c r="F10" i="22"/>
  <c r="F4" i="22"/>
  <c r="F15" i="22"/>
  <c r="F9" i="22"/>
  <c r="F3" i="22"/>
  <c r="F14" i="22"/>
  <c r="F8" i="22"/>
  <c r="F2" i="22"/>
  <c r="M3" i="17"/>
  <c r="C24" i="17"/>
  <c r="C23" i="17"/>
  <c r="C19" i="17"/>
  <c r="D19" i="17" s="1"/>
  <c r="C18" i="17"/>
  <c r="D18" i="17" s="1"/>
  <c r="C17" i="17"/>
  <c r="D17" i="17" s="1"/>
  <c r="C16" i="17"/>
  <c r="D16" i="17" s="1"/>
  <c r="C15" i="17"/>
  <c r="D15" i="17" s="1"/>
  <c r="C14" i="17"/>
  <c r="D14" i="17" s="1"/>
  <c r="C13" i="17"/>
  <c r="D13" i="17" s="1"/>
  <c r="C12" i="17"/>
  <c r="D12" i="17" s="1"/>
  <c r="C11" i="17"/>
  <c r="D11" i="17" s="1"/>
  <c r="C10" i="17"/>
  <c r="D10" i="17" s="1"/>
  <c r="C9" i="17"/>
  <c r="D9" i="17" s="1"/>
  <c r="C8" i="17"/>
  <c r="D8" i="17" s="1"/>
  <c r="C7" i="17"/>
  <c r="D7" i="17" s="1"/>
  <c r="C6" i="17"/>
  <c r="D6" i="17" s="1"/>
  <c r="C5" i="17"/>
  <c r="D5" i="17" s="1"/>
  <c r="C4" i="17"/>
  <c r="D4" i="17" s="1"/>
  <c r="C3" i="17"/>
  <c r="D3" i="17" s="1"/>
  <c r="C2" i="17"/>
  <c r="D2" i="17" s="1"/>
  <c r="M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C3" i="10"/>
  <c r="D3" i="10" s="1"/>
  <c r="C2" i="10"/>
  <c r="D2" i="10" s="1"/>
  <c r="F19" i="6"/>
  <c r="F13" i="6"/>
  <c r="F7" i="6"/>
  <c r="F18" i="6"/>
  <c r="F12" i="6"/>
  <c r="F6" i="6"/>
  <c r="F17" i="6"/>
  <c r="F11" i="6"/>
  <c r="F5" i="6"/>
  <c r="F16" i="6"/>
  <c r="F10" i="6"/>
  <c r="F4" i="6"/>
  <c r="F15" i="6"/>
  <c r="F9" i="6"/>
  <c r="F3" i="6"/>
  <c r="F14" i="6"/>
  <c r="F8" i="6"/>
  <c r="F2" i="6"/>
  <c r="F19" i="7"/>
  <c r="F13" i="7"/>
  <c r="F7" i="7"/>
  <c r="F18" i="7"/>
  <c r="F12" i="7"/>
  <c r="F6" i="7"/>
  <c r="F17" i="7"/>
  <c r="F11" i="7"/>
  <c r="F5" i="7"/>
  <c r="F16" i="7"/>
  <c r="F10" i="7"/>
  <c r="F4" i="7"/>
  <c r="F15" i="7"/>
  <c r="F9" i="7"/>
  <c r="F3" i="7"/>
  <c r="F14" i="7"/>
  <c r="F8" i="7"/>
  <c r="F2" i="7"/>
  <c r="D20" i="40" l="1"/>
  <c r="D20" i="27"/>
  <c r="D20" i="17"/>
  <c r="D20" i="10"/>
</calcChain>
</file>

<file path=xl/sharedStrings.xml><?xml version="1.0" encoding="utf-8"?>
<sst xmlns="http://schemas.openxmlformats.org/spreadsheetml/2006/main" count="1090" uniqueCount="43">
  <si>
    <t>Time</t>
  </si>
  <si>
    <t>CFU</t>
  </si>
  <si>
    <t>Strain</t>
  </si>
  <si>
    <t>Replicate</t>
  </si>
  <si>
    <t>A</t>
  </si>
  <si>
    <t>B</t>
  </si>
  <si>
    <t>C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</si>
  <si>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</si>
  <si>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</si>
  <si>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</si>
  <si>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</si>
  <si>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</si>
  <si>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</si>
  <si>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kmax</t>
  </si>
  <si>
    <t>LOG10(N0)</t>
  </si>
  <si>
    <t>f</t>
  </si>
  <si>
    <t>kmax1</t>
  </si>
  <si>
    <t>kmax2</t>
  </si>
  <si>
    <t>p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</si>
  <si>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</si>
  <si>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</si>
  <si>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</si>
  <si>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</si>
  <si>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</si>
  <si>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</si>
  <si>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For identification purposes reformulated as</t>
  </si>
  <si>
    <t>as can be derived from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</si>
  <si>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</si>
  <si>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log10(N)=log10(N0)+log10(f*exp(-kmax1*t)+(1-f)*exp(-kmax2*t))</t>
  </si>
  <si>
    <t>Cerf O. 1977. Tailing of survival curves of bacterial spores.Journal of Applied Bacteriology, 42, 1-19</t>
  </si>
  <si>
    <t>LOG10(N_res)</t>
  </si>
  <si>
    <t>N= (N0- N_res) * exp(-kmax * t) + N_res</t>
  </si>
  <si>
    <t>LOG10(N)= LOG10((10^LOG10(N0)- 10^LOG10(N_res)) * exp(-kmax * t) + 10^LOG10(N_res))</t>
  </si>
  <si>
    <t>delta</t>
  </si>
  <si>
    <t>LOG10(Nres)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</si>
  <si>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</si>
  <si>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</si>
  <si>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</si>
  <si>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Treatment</t>
  </si>
  <si>
    <t>Temperature</t>
  </si>
  <si>
    <t>60C</t>
  </si>
  <si>
    <t>Un-chilled</t>
  </si>
  <si>
    <t>Pre-chilled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</si>
</sst>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3" fillId="0" borderId="0" xfId="0" applyFont="1"/>
    <xf numFmtId="2" fontId="4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6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wrapText="1"/>
    </xf>
    <xf numFmtId="2" fontId="8" fillId="0" borderId="0" xfId="0" applyNumberFormat="1" applyFont="1"/>
    <xf numFmtId="2" fontId="9" fillId="0" borderId="0" xfId="0" applyNumberFormat="1" applyFont="1"/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10" fillId="0" borderId="0" xfId="0" applyNumberFormat="1" applyFont="1"/>
    <xf numFmtId="2" fontId="9" fillId="0" borderId="0" xfId="0" applyNumberFormat="1" applyFont="1" applyAlignment="1">
      <alignment horizontal="right"/>
    </xf>
    <xf numFmtId="2" fontId="11" fillId="0" borderId="0" xfId="0" applyNumberFormat="1" applyFont="1"/>
    <xf numFmtId="0" fontId="9" fillId="0" borderId="0" xfId="0" applyFont="1"/>
    <xf numFmtId="2" fontId="11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2" fontId="1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/>
    <xf numFmtId="164" fontId="1" fillId="0" borderId="0" xfId="0" applyNumberFormat="1" applyFo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2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Un-chilled Albert'!$A$2:$A$19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'12628 Un-chilled Albert'!$B$2:$B$19</c:f>
              <c:numCache>
                <c:formatCode>0.00</c:formatCode>
                <c:ptCount val="18"/>
                <c:pt idx="0">
                  <c:v>6.012837224705172</c:v>
                </c:pt>
                <c:pt idx="1">
                  <c:v>5.1072099696478688</c:v>
                </c:pt>
                <c:pt idx="2">
                  <c:v>5.0530784434834199</c:v>
                </c:pt>
                <c:pt idx="3">
                  <c:v>4.012837224705172</c:v>
                </c:pt>
                <c:pt idx="4">
                  <c:v>4.3710678622717358</c:v>
                </c:pt>
                <c:pt idx="5">
                  <c:v>4.7520484478194387</c:v>
                </c:pt>
                <c:pt idx="6">
                  <c:v>5.8450980400142569</c:v>
                </c:pt>
                <c:pt idx="7">
                  <c:v>4.2479732663618064</c:v>
                </c:pt>
                <c:pt idx="8">
                  <c:v>4.1673173347481764</c:v>
                </c:pt>
                <c:pt idx="9">
                  <c:v>4.568201724066995</c:v>
                </c:pt>
                <c:pt idx="10">
                  <c:v>4.0354297381845488</c:v>
                </c:pt>
                <c:pt idx="11">
                  <c:v>4.0413926851582254</c:v>
                </c:pt>
                <c:pt idx="12">
                  <c:v>5.7558748556724915</c:v>
                </c:pt>
                <c:pt idx="13">
                  <c:v>4.3222192947339195</c:v>
                </c:pt>
                <c:pt idx="14">
                  <c:v>4.3673559210260189</c:v>
                </c:pt>
                <c:pt idx="15">
                  <c:v>4.1760912590556813</c:v>
                </c:pt>
                <c:pt idx="16">
                  <c:v>3.8662873390841948</c:v>
                </c:pt>
                <c:pt idx="17">
                  <c:v>4.0064660422492313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Un-chilled Albert'!$A$23:$A$122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</c:numCache>
            </c:numRef>
          </c:xVal>
          <c:yVal>
            <c:numRef>
              <c:f>'12628 Un-chilled Albert'!$C$23:$C$122</c:f>
              <c:numCache>
                <c:formatCode>0.000</c:formatCode>
                <c:ptCount val="100"/>
                <c:pt idx="0">
                  <c:v>5.8705943592025411</c:v>
                </c:pt>
                <c:pt idx="1">
                  <c:v>5.1595898604510557</c:v>
                </c:pt>
                <c:pt idx="2">
                  <c:v>5.0299006329361671</c:v>
                </c:pt>
                <c:pt idx="3">
                  <c:v>4.9452750836825237</c:v>
                </c:pt>
                <c:pt idx="4">
                  <c:v>4.8814065050670186</c:v>
                </c:pt>
                <c:pt idx="5">
                  <c:v>4.8298187213399659</c:v>
                </c:pt>
                <c:pt idx="6">
                  <c:v>4.7864588584572108</c:v>
                </c:pt>
                <c:pt idx="7">
                  <c:v>4.7490445283214493</c:v>
                </c:pt>
                <c:pt idx="8">
                  <c:v>4.7161516611591603</c:v>
                </c:pt>
                <c:pt idx="9">
                  <c:v>4.6868265099723692</c:v>
                </c:pt>
                <c:pt idx="10">
                  <c:v>4.6603961780996599</c:v>
                </c:pt>
                <c:pt idx="11">
                  <c:v>4.6363665579704474</c:v>
                </c:pt>
                <c:pt idx="12">
                  <c:v>4.6143631490234336</c:v>
                </c:pt>
                <c:pt idx="13">
                  <c:v>4.5940947041328002</c:v>
                </c:pt>
                <c:pt idx="14">
                  <c:v>4.5753298385533698</c:v>
                </c:pt>
                <c:pt idx="15">
                  <c:v>4.5578813933583557</c:v>
                </c:pt>
                <c:pt idx="16">
                  <c:v>4.5415956424039097</c:v>
                </c:pt>
                <c:pt idx="17">
                  <c:v>4.5263446365903235</c:v>
                </c:pt>
                <c:pt idx="18">
                  <c:v>4.5120206443421882</c:v>
                </c:pt>
                <c:pt idx="19">
                  <c:v>4.4985320308260324</c:v>
                </c:pt>
                <c:pt idx="20">
                  <c:v>4.4858001480909682</c:v>
                </c:pt>
                <c:pt idx="21">
                  <c:v>4.4737569503787684</c:v>
                </c:pt>
                <c:pt idx="22">
                  <c:v>4.4623431392727078</c:v>
                </c:pt>
                <c:pt idx="23">
                  <c:v>4.4515067023867294</c:v>
                </c:pt>
                <c:pt idx="24">
                  <c:v>4.441201748716785</c:v>
                </c:pt>
                <c:pt idx="25">
                  <c:v>4.4313875706399948</c:v>
                </c:pt>
                <c:pt idx="26">
                  <c:v>4.422027881192987</c:v>
                </c:pt>
                <c:pt idx="27">
                  <c:v>4.4130901884196536</c:v>
                </c:pt>
                <c:pt idx="28">
                  <c:v>4.404545278007256</c:v>
                </c:pt>
                <c:pt idx="29">
                  <c:v>4.3963667822803236</c:v>
                </c:pt>
                <c:pt idx="30">
                  <c:v>4.3885308186631153</c:v>
                </c:pt>
                <c:pt idx="31">
                  <c:v>4.3810156844753481</c:v>
                </c:pt>
                <c:pt idx="32">
                  <c:v>4.373801597751914</c:v>
                </c:pt>
                <c:pt idx="33">
                  <c:v>4.3668704759263681</c:v>
                </c:pt>
                <c:pt idx="34">
                  <c:v>4.3602057458678125</c:v>
                </c:pt>
                <c:pt idx="35">
                  <c:v>4.3537921800385115</c:v>
                </c:pt>
                <c:pt idx="36">
                  <c:v>4.34761575453732</c:v>
                </c:pt>
                <c:pt idx="37">
                  <c:v>4.3416635255791443</c:v>
                </c:pt>
                <c:pt idx="38">
                  <c:v>4.3359235215829921</c:v>
                </c:pt>
                <c:pt idx="39">
                  <c:v>4.3303846485378497</c:v>
                </c:pt>
                <c:pt idx="40">
                  <c:v>4.325036606714586</c:v>
                </c:pt>
                <c:pt idx="41">
                  <c:v>4.3198698171144594</c:v>
                </c:pt>
                <c:pt idx="42">
                  <c:v>4.3148753563068674</c:v>
                </c:pt>
                <c:pt idx="43">
                  <c:v>4.3100448985231523</c:v>
                </c:pt>
                <c:pt idx="44">
                  <c:v>4.3053706640491578</c:v>
                </c:pt>
                <c:pt idx="45">
                  <c:v>4.300845373104516</c:v>
                </c:pt>
                <c:pt idx="46">
                  <c:v>4.2964622045170522</c:v>
                </c:pt>
                <c:pt idx="47">
                  <c:v>4.2922147586010846</c:v>
                </c:pt>
                <c:pt idx="48">
                  <c:v>4.2880970237323357</c:v>
                </c:pt>
                <c:pt idx="49">
                  <c:v>4.2841033461827012</c:v>
                </c:pt>
                <c:pt idx="50">
                  <c:v>4.2802284028376247</c:v>
                </c:pt>
                <c:pt idx="51">
                  <c:v>4.2764671764691569</c:v>
                </c:pt>
                <c:pt idx="52">
                  <c:v>4.2728149332805501</c:v>
                </c:pt>
                <c:pt idx="53">
                  <c:v>4.269267202474702</c:v>
                </c:pt>
                <c:pt idx="54">
                  <c:v>4.2658197576299317</c:v>
                </c:pt>
                <c:pt idx="55">
                  <c:v>4.2624685996933325</c:v>
                </c:pt>
                <c:pt idx="56">
                  <c:v>4.2592099414249276</c:v>
                </c:pt>
                <c:pt idx="57">
                  <c:v>4.2560401931457488</c:v>
                </c:pt>
                <c:pt idx="58">
                  <c:v>4.2529559496601195</c:v>
                </c:pt>
                <c:pt idx="59">
                  <c:v>4.249953978237353</c:v>
                </c:pt>
                <c:pt idx="60">
                  <c:v>4.2470312075510259</c:v>
                </c:pt>
                <c:pt idx="61">
                  <c:v>4.2441847174853295</c:v>
                </c:pt>
                <c:pt idx="62">
                  <c:v>4.2414117297278775</c:v>
                </c:pt>
                <c:pt idx="63">
                  <c:v>4.238709599077005</c:v>
                </c:pt>
                <c:pt idx="64">
                  <c:v>4.2360758053992384</c:v>
                </c:pt>
                <c:pt idx="65">
                  <c:v>4.2335079461792784</c:v>
                </c:pt>
                <c:pt idx="66">
                  <c:v>4.2310037296107756</c:v>
                </c:pt>
                <c:pt idx="67">
                  <c:v>4.2285609681813945</c:v>
                </c:pt>
                <c:pt idx="68">
                  <c:v>4.2261775727102684</c:v>
                </c:pt>
                <c:pt idx="69">
                  <c:v>4.2238515468000948</c:v>
                </c:pt>
                <c:pt idx="70">
                  <c:v>4.2215809816697121</c:v>
                </c:pt>
                <c:pt idx="71">
                  <c:v>4.2193640513363047</c:v>
                </c:pt>
                <c:pt idx="72">
                  <c:v>4.2171990081192305</c:v>
                </c:pt>
                <c:pt idx="73">
                  <c:v>4.2150841784401019</c:v>
                </c:pt>
                <c:pt idx="74">
                  <c:v>4.2130179588960193</c:v>
                </c:pt>
                <c:pt idx="75">
                  <c:v>4.2109988125849895</c:v>
                </c:pt>
                <c:pt idx="76">
                  <c:v>4.2090252656643701</c:v>
                </c:pt>
                <c:pt idx="77">
                  <c:v>4.2070959041249081</c:v>
                </c:pt>
                <c:pt idx="78">
                  <c:v>4.2052093707644147</c:v>
                </c:pt>
                <c:pt idx="79">
                  <c:v>4.203364362346508</c:v>
                </c:pt>
                <c:pt idx="80">
                  <c:v>4.2015596269310631</c:v>
                </c:pt>
                <c:pt idx="81">
                  <c:v>4.1997939613641382</c:v>
                </c:pt>
                <c:pt idx="82">
                  <c:v>4.1980662089161456</c:v>
                </c:pt>
                <c:pt idx="83">
                  <c:v>4.196375257057948</c:v>
                </c:pt>
                <c:pt idx="84">
                  <c:v>4.1947200353653962</c:v>
                </c:pt>
                <c:pt idx="85">
                  <c:v>4.1930995135435687</c:v>
                </c:pt>
                <c:pt idx="86">
                  <c:v>4.1915126995626695</c:v>
                </c:pt>
                <c:pt idx="87">
                  <c:v>4.1899586378981555</c:v>
                </c:pt>
                <c:pt idx="88">
                  <c:v>4.188436407868239</c:v>
                </c:pt>
                <c:pt idx="89">
                  <c:v>4.1869451220624345</c:v>
                </c:pt>
                <c:pt idx="90">
                  <c:v>4.1854839248552853</c:v>
                </c:pt>
                <c:pt idx="91">
                  <c:v>4.1840519909998459</c:v>
                </c:pt>
                <c:pt idx="92">
                  <c:v>4.1826485242958977</c:v>
                </c:pt>
                <c:pt idx="93">
                  <c:v>4.181272756328231</c:v>
                </c:pt>
                <c:pt idx="94">
                  <c:v>4.1799239452706711</c:v>
                </c:pt>
                <c:pt idx="95">
                  <c:v>4.1786013747518238</c:v>
                </c:pt>
                <c:pt idx="96">
                  <c:v>4.1773043527788198</c:v>
                </c:pt>
                <c:pt idx="97">
                  <c:v>4.1760322107155545</c:v>
                </c:pt>
                <c:pt idx="98">
                  <c:v>4.1747843023122204</c:v>
                </c:pt>
                <c:pt idx="99">
                  <c:v>4.173560002783093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79872"/>
        <c:axId val="240584088"/>
      </c:scatterChart>
      <c:valAx>
        <c:axId val="240579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584088"/>
        <c:crosses val="autoZero"/>
        <c:crossBetween val="midCat"/>
      </c:valAx>
      <c:valAx>
        <c:axId val="240584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579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Pre-chilled Geeraerd_Tail'!$A$2:$A$19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'12628 Pre-chilled Geeraerd_Tail'!$B$2:$B$19</c:f>
              <c:numCache>
                <c:formatCode>0.00</c:formatCode>
                <c:ptCount val="18"/>
                <c:pt idx="0">
                  <c:v>5.6334684555795862</c:v>
                </c:pt>
                <c:pt idx="1">
                  <c:v>4.9190780923760737</c:v>
                </c:pt>
                <c:pt idx="2">
                  <c:v>4.3074960379132126</c:v>
                </c:pt>
                <c:pt idx="3">
                  <c:v>4.7993405494535821</c:v>
                </c:pt>
                <c:pt idx="4">
                  <c:v>4.0211892990699383</c:v>
                </c:pt>
                <c:pt idx="5">
                  <c:v>3.1254812657005941</c:v>
                </c:pt>
                <c:pt idx="6">
                  <c:v>5.6989700043360187</c:v>
                </c:pt>
                <c:pt idx="7">
                  <c:v>4.8450980400142569</c:v>
                </c:pt>
                <c:pt idx="8">
                  <c:v>4.6720978579357171</c:v>
                </c:pt>
                <c:pt idx="9">
                  <c:v>4.0530784434834199</c:v>
                </c:pt>
                <c:pt idx="10">
                  <c:v>3.7118072290411912</c:v>
                </c:pt>
                <c:pt idx="11">
                  <c:v>3.4232458739368079</c:v>
                </c:pt>
                <c:pt idx="12">
                  <c:v>5.6989700043360187</c:v>
                </c:pt>
                <c:pt idx="13">
                  <c:v>4.6989700043360187</c:v>
                </c:pt>
                <c:pt idx="14">
                  <c:v>4.238046103128795</c:v>
                </c:pt>
                <c:pt idx="15">
                  <c:v>4.1553360374650614</c:v>
                </c:pt>
                <c:pt idx="16">
                  <c:v>3.9030899869919438</c:v>
                </c:pt>
                <c:pt idx="17">
                  <c:v>4.204119982655925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Pre-chilled Geeraerd_Tail'!$A$23:$A$122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</c:numCache>
            </c:numRef>
          </c:xVal>
          <c:yVal>
            <c:numRef>
              <c:f>'12628 Pre-chilled Geeraerd_Tail'!$C$23:$C$122</c:f>
              <c:numCache>
                <c:formatCode>0.000</c:formatCode>
                <c:ptCount val="100"/>
                <c:pt idx="0">
                  <c:v>5.4281122763948568</c:v>
                </c:pt>
                <c:pt idx="1">
                  <c:v>5.3951597534327229</c:v>
                </c:pt>
                <c:pt idx="2">
                  <c:v>5.3622655108923132</c:v>
                </c:pt>
                <c:pt idx="3">
                  <c:v>5.3294340187382181</c:v>
                </c:pt>
                <c:pt idx="4">
                  <c:v>5.2966700702238123</c:v>
                </c:pt>
                <c:pt idx="5">
                  <c:v>5.2639788021006</c:v>
                </c:pt>
                <c:pt idx="6">
                  <c:v>5.2313657155694173</c:v>
                </c:pt>
                <c:pt idx="7">
                  <c:v>5.1988366979077067</c:v>
                </c:pt>
                <c:pt idx="8">
                  <c:v>5.1663980446862396</c:v>
                </c:pt>
                <c:pt idx="9">
                  <c:v>5.1340564824646977</c:v>
                </c:pt>
                <c:pt idx="10">
                  <c:v>5.1018191918283371</c:v>
                </c:pt>
                <c:pt idx="11">
                  <c:v>5.0696938305972541</c:v>
                </c:pt>
                <c:pt idx="12">
                  <c:v>5.0376885570054561</c:v>
                </c:pt>
                <c:pt idx="13">
                  <c:v>5.0058120526089507</c:v>
                </c:pt>
                <c:pt idx="14">
                  <c:v>4.9740735446403699</c:v>
                </c:pt>
                <c:pt idx="15">
                  <c:v>4.9424828274824266</c:v>
                </c:pt>
                <c:pt idx="16">
                  <c:v>4.9110502828840437</c:v>
                </c:pt>
                <c:pt idx="17">
                  <c:v>4.8797868984917461</c:v>
                </c:pt>
                <c:pt idx="18">
                  <c:v>4.8487042842156018</c:v>
                </c:pt>
                <c:pt idx="19">
                  <c:v>4.817814685894632</c:v>
                </c:pt>
                <c:pt idx="20">
                  <c:v>4.787130995672376</c:v>
                </c:pt>
                <c:pt idx="21">
                  <c:v>4.7566667584409368</c:v>
                </c:pt>
                <c:pt idx="22">
                  <c:v>4.7264361736632328</c:v>
                </c:pt>
                <c:pt idx="23">
                  <c:v>4.6964540918408124</c:v>
                </c:pt>
                <c:pt idx="24">
                  <c:v>4.6667360048611801</c:v>
                </c:pt>
                <c:pt idx="25">
                  <c:v>4.637298029437364</c:v>
                </c:pt>
                <c:pt idx="26">
                  <c:v>4.6081568828468553</c:v>
                </c:pt>
                <c:pt idx="27">
                  <c:v>4.5793298501909003</c:v>
                </c:pt>
                <c:pt idx="28">
                  <c:v>4.5508347424322535</c:v>
                </c:pt>
                <c:pt idx="29">
                  <c:v>4.5226898445337582</c:v>
                </c:pt>
                <c:pt idx="30">
                  <c:v>4.4949138531151602</c:v>
                </c:pt>
                <c:pt idx="31">
                  <c:v>4.4675258031742997</c:v>
                </c:pt>
                <c:pt idx="32">
                  <c:v>4.4405449835836706</c:v>
                </c:pt>
                <c:pt idx="33">
                  <c:v>4.4139908412751776</c:v>
                </c:pt>
                <c:pt idx="34">
                  <c:v>4.3878828742643847</c:v>
                </c:pt>
                <c:pt idx="35">
                  <c:v>4.3622405139382394</c:v>
                </c:pt>
                <c:pt idx="36">
                  <c:v>4.3370829973326659</c:v>
                </c:pt>
                <c:pt idx="37">
                  <c:v>4.3124292304517011</c:v>
                </c:pt>
                <c:pt idx="38">
                  <c:v>4.2882976440185905</c:v>
                </c:pt>
                <c:pt idx="39">
                  <c:v>4.2647060433898218</c:v>
                </c:pt>
                <c:pt idx="40">
                  <c:v>4.2416714546915317</c:v>
                </c:pt>
                <c:pt idx="41">
                  <c:v>4.2192099695387313</c:v>
                </c:pt>
                <c:pt idx="42">
                  <c:v>4.1973365909549623</c:v>
                </c:pt>
                <c:pt idx="43">
                  <c:v>4.1760650833070434</c:v>
                </c:pt>
                <c:pt idx="44">
                  <c:v>4.1554078291913168</c:v>
                </c:pt>
                <c:pt idx="45">
                  <c:v>4.1353756962412547</c:v>
                </c:pt>
                <c:pt idx="46">
                  <c:v>4.1159779167620023</c:v>
                </c:pt>
                <c:pt idx="47">
                  <c:v>4.0972219829301562</c:v>
                </c:pt>
                <c:pt idx="48">
                  <c:v>4.0791135600269905</c:v>
                </c:pt>
                <c:pt idx="49">
                  <c:v>4.0616564198061029</c:v>
                </c:pt>
                <c:pt idx="50">
                  <c:v>4.0448523956434794</c:v>
                </c:pt>
                <c:pt idx="51">
                  <c:v>4.028701360595818</c:v>
                </c:pt>
                <c:pt idx="52">
                  <c:v>4.0132012289227497</c:v>
                </c:pt>
                <c:pt idx="53">
                  <c:v>3.9983479810342937</c:v>
                </c:pt>
                <c:pt idx="54">
                  <c:v>3.9841357112323199</c:v>
                </c:pt>
                <c:pt idx="55">
                  <c:v>3.9705566970494481</c:v>
                </c:pt>
                <c:pt idx="56">
                  <c:v>3.9576014884745372</c:v>
                </c:pt>
                <c:pt idx="57">
                  <c:v>3.9452590149111857</c:v>
                </c:pt>
                <c:pt idx="58">
                  <c:v>3.933516707360452</c:v>
                </c:pt>
                <c:pt idx="59">
                  <c:v>3.9223606330620244</c:v>
                </c:pt>
                <c:pt idx="60">
                  <c:v>3.9117756396742283</c:v>
                </c:pt>
                <c:pt idx="61">
                  <c:v>3.9017455060219741</c:v>
                </c:pt>
                <c:pt idx="62">
                  <c:v>3.8922530964872744</c:v>
                </c:pt>
                <c:pt idx="63">
                  <c:v>3.8832805162492003</c:v>
                </c:pt>
                <c:pt idx="64">
                  <c:v>3.8748092647858781</c:v>
                </c:pt>
                <c:pt idx="65">
                  <c:v>3.8668203853148908</c:v>
                </c:pt>
                <c:pt idx="66">
                  <c:v>3.8592946081538946</c:v>
                </c:pt>
                <c:pt idx="67">
                  <c:v>3.852212486314162</c:v>
                </c:pt>
                <c:pt idx="68">
                  <c:v>3.8455545219807838</c:v>
                </c:pt>
                <c:pt idx="69">
                  <c:v>3.8393012828709181</c:v>
                </c:pt>
                <c:pt idx="70">
                  <c:v>3.8334335077842363</c:v>
                </c:pt>
                <c:pt idx="71">
                  <c:v>3.8279322009586374</c:v>
                </c:pt>
                <c:pt idx="72">
                  <c:v>3.822778715112773</c:v>
                </c:pt>
                <c:pt idx="73">
                  <c:v>3.8179548232907266</c:v>
                </c:pt>
                <c:pt idx="74">
                  <c:v>3.8134427798212713</c:v>
                </c:pt>
                <c:pt idx="75">
                  <c:v>3.8092253708641657</c:v>
                </c:pt>
                <c:pt idx="76">
                  <c:v>3.8052859551402478</c:v>
                </c:pt>
                <c:pt idx="77">
                  <c:v>3.8016084955329053</c:v>
                </c:pt>
                <c:pt idx="78">
                  <c:v>3.7981775823090698</c:v>
                </c:pt>
                <c:pt idx="79">
                  <c:v>3.7949784487417748</c:v>
                </c:pt>
                <c:pt idx="80">
                  <c:v>3.7919969799274313</c:v>
                </c:pt>
                <c:pt idx="81">
                  <c:v>3.7892197155831555</c:v>
                </c:pt>
                <c:pt idx="82">
                  <c:v>3.7866338475864878</c:v>
                </c:pt>
                <c:pt idx="83">
                  <c:v>3.7842272129851202</c:v>
                </c:pt>
                <c:pt idx="84">
                  <c:v>3.781988283160906</c:v>
                </c:pt>
                <c:pt idx="85">
                  <c:v>3.7799061497832329</c:v>
                </c:pt>
                <c:pt idx="86">
                  <c:v>3.7779705081341199</c:v>
                </c:pt>
                <c:pt idx="87">
                  <c:v>3.776171638333071</c:v>
                </c:pt>
                <c:pt idx="88">
                  <c:v>3.7745003849354224</c:v>
                </c:pt>
                <c:pt idx="89">
                  <c:v>3.7729481353248304</c:v>
                </c:pt>
                <c:pt idx="90">
                  <c:v>3.7715067972696286</c:v>
                </c:pt>
                <c:pt idx="91">
                  <c:v>3.7701687759647182</c:v>
                </c:pt>
                <c:pt idx="92">
                  <c:v>3.7689269508358807</c:v>
                </c:pt>
                <c:pt idx="93">
                  <c:v>3.7677746523421782</c:v>
                </c:pt>
                <c:pt idx="94">
                  <c:v>3.7667056389745941</c:v>
                </c:pt>
                <c:pt idx="95">
                  <c:v>3.7657140746152202</c:v>
                </c:pt>
                <c:pt idx="96">
                  <c:v>3.7647945063910702</c:v>
                </c:pt>
                <c:pt idx="97">
                  <c:v>3.7639418431298122</c:v>
                </c:pt>
                <c:pt idx="98">
                  <c:v>3.7631513345011993</c:v>
                </c:pt>
                <c:pt idx="99">
                  <c:v>3.7624185509074866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85576"/>
        <c:axId val="240700256"/>
      </c:scatterChart>
      <c:valAx>
        <c:axId val="240585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700256"/>
        <c:crosses val="autoZero"/>
        <c:crossBetween val="midCat"/>
      </c:valAx>
      <c:valAx>
        <c:axId val="24070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585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Un-chilled Biphasic'!$A$2:$A$19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'12662 Un-chilled Biphasic'!$B$2:$B$19</c:f>
              <c:numCache>
                <c:formatCode>0.00</c:formatCode>
                <c:ptCount val="18"/>
                <c:pt idx="0">
                  <c:v>5.6720978579357171</c:v>
                </c:pt>
                <c:pt idx="1">
                  <c:v>4.1846914308175984</c:v>
                </c:pt>
                <c:pt idx="2">
                  <c:v>4.0413926851582254</c:v>
                </c:pt>
                <c:pt idx="3">
                  <c:v>3.9684829485539352</c:v>
                </c:pt>
                <c:pt idx="4">
                  <c:v>4.2671717284030137</c:v>
                </c:pt>
                <c:pt idx="5">
                  <c:v>4.2174839442139067</c:v>
                </c:pt>
                <c:pt idx="6">
                  <c:v>5.6989700043360187</c:v>
                </c:pt>
                <c:pt idx="7">
                  <c:v>4.7242758696007892</c:v>
                </c:pt>
                <c:pt idx="8">
                  <c:v>4.3673559210260189</c:v>
                </c:pt>
                <c:pt idx="9">
                  <c:v>4.0791812460476251</c:v>
                </c:pt>
                <c:pt idx="10">
                  <c:v>3.0934216851622351</c:v>
                </c:pt>
                <c:pt idx="11">
                  <c:v>4.0064660422492313</c:v>
                </c:pt>
                <c:pt idx="12">
                  <c:v>5.509202522331103</c:v>
                </c:pt>
                <c:pt idx="13">
                  <c:v>4.3617278360175931</c:v>
                </c:pt>
                <c:pt idx="14">
                  <c:v>3.8864907251724818</c:v>
                </c:pt>
                <c:pt idx="15">
                  <c:v>4.2855573090077739</c:v>
                </c:pt>
                <c:pt idx="16">
                  <c:v>3.9469432706978256</c:v>
                </c:pt>
                <c:pt idx="17">
                  <c:v>3.3324384599156054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Un-chilled Biphasic'!$A$23:$A$423</c:f>
              <c:numCache>
                <c:formatCode>0.000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'12662 Un-chilled Biphasic'!$C$23:$C$423</c:f>
              <c:numCache>
                <c:formatCode>0.000</c:formatCode>
                <c:ptCount val="401"/>
                <c:pt idx="0">
                  <c:v>5.6274389819528512</c:v>
                </c:pt>
                <c:pt idx="1">
                  <c:v>5.5977733889912242</c:v>
                </c:pt>
                <c:pt idx="2">
                  <c:v>5.5681897204494017</c:v>
                </c:pt>
                <c:pt idx="3">
                  <c:v>5.5386932789906673</c:v>
                </c:pt>
                <c:pt idx="4">
                  <c:v>5.5092896731681327</c:v>
                </c:pt>
                <c:pt idx="5">
                  <c:v>5.479984829886746</c:v>
                </c:pt>
                <c:pt idx="6">
                  <c:v>5.4507850066269281</c:v>
                </c:pt>
                <c:pt idx="7">
                  <c:v>5.4216968032954265</c:v>
                </c:pt>
                <c:pt idx="8">
                  <c:v>5.3927271735510969</c:v>
                </c:pt>
                <c:pt idx="9">
                  <c:v>5.3638834354344409</c:v>
                </c:pt>
                <c:pt idx="10">
                  <c:v>5.3351732811100385</c:v>
                </c:pt>
                <c:pt idx="11">
                  <c:v>5.3066047855107525</c:v>
                </c:pt>
                <c:pt idx="12">
                  <c:v>5.2781864136520777</c:v>
                </c:pt>
                <c:pt idx="13">
                  <c:v>5.249927026364599</c:v>
                </c:pt>
                <c:pt idx="14">
                  <c:v>5.2218358841728474</c:v>
                </c:pt>
                <c:pt idx="15">
                  <c:v>5.193922649030263</c:v>
                </c:pt>
                <c:pt idx="16">
                  <c:v>5.1661973836034214</c:v>
                </c:pt>
                <c:pt idx="17">
                  <c:v>5.1386705477847858</c:v>
                </c:pt>
                <c:pt idx="18">
                  <c:v>5.1113529921029492</c:v>
                </c:pt>
                <c:pt idx="19">
                  <c:v>5.0842559476936762</c:v>
                </c:pt>
                <c:pt idx="20">
                  <c:v>5.0573910124950316</c:v>
                </c:pt>
                <c:pt idx="21">
                  <c:v>5.0307701333366746</c:v>
                </c:pt>
                <c:pt idx="22">
                  <c:v>5.0044055836081327</c:v>
                </c:pt>
                <c:pt idx="23">
                  <c:v>4.978309936214667</c:v>
                </c:pt>
                <c:pt idx="24">
                  <c:v>4.9524960315633182</c:v>
                </c:pt>
                <c:pt idx="25">
                  <c:v>4.9269769403667283</c:v>
                </c:pt>
                <c:pt idx="26">
                  <c:v>4.901765921109221</c:v>
                </c:pt>
                <c:pt idx="27">
                  <c:v>4.8768763720887147</c:v>
                </c:pt>
                <c:pt idx="28">
                  <c:v>4.8523217780295482</c:v>
                </c:pt>
                <c:pt idx="29">
                  <c:v>4.8281156513548584</c:v>
                </c:pt>
                <c:pt idx="30">
                  <c:v>4.8042714683117982</c:v>
                </c:pt>
                <c:pt idx="31">
                  <c:v>4.7808026002573794</c:v>
                </c:pt>
                <c:pt idx="32">
                  <c:v>4.7577222405347896</c:v>
                </c:pt>
                <c:pt idx="33">
                  <c:v>4.7350433274971522</c:v>
                </c:pt>
                <c:pt idx="34">
                  <c:v>4.7127784643643373</c:v>
                </c:pt>
                <c:pt idx="35">
                  <c:v>4.6909398367248869</c:v>
                </c:pt>
                <c:pt idx="36">
                  <c:v>4.6695391286147991</c:v>
                </c:pt>
                <c:pt idx="37">
                  <c:v>4.6485874382132391</c:v>
                </c:pt>
                <c:pt idx="38">
                  <c:v>4.6280951942872832</c:v>
                </c:pt>
                <c:pt idx="39">
                  <c:v>4.6080720745887795</c:v>
                </c:pt>
                <c:pt idx="40">
                  <c:v>4.588526927451932</c:v>
                </c:pt>
                <c:pt idx="41">
                  <c:v>4.5694676978564015</c:v>
                </c:pt>
                <c:pt idx="42">
                  <c:v>4.5509013592046461</c:v>
                </c:pt>
                <c:pt idx="43">
                  <c:v>4.5328338520121125</c:v>
                </c:pt>
                <c:pt idx="44">
                  <c:v>4.5152700306241442</c:v>
                </c:pt>
                <c:pt idx="45">
                  <c:v>4.4982136189550692</c:v>
                </c:pt>
                <c:pt idx="46">
                  <c:v>4.4816671760953586</c:v>
                </c:pt>
                <c:pt idx="47">
                  <c:v>4.4656320724557705</c:v>
                </c:pt>
                <c:pt idx="48">
                  <c:v>4.4501084769183841</c:v>
                </c:pt>
                <c:pt idx="49">
                  <c:v>4.4350953552495911</c:v>
                </c:pt>
                <c:pt idx="50">
                  <c:v>4.4205904798066431</c:v>
                </c:pt>
                <c:pt idx="51">
                  <c:v>4.406590450344809</c:v>
                </c:pt>
                <c:pt idx="52">
                  <c:v>4.3930907255142113</c:v>
                </c:pt>
                <c:pt idx="53">
                  <c:v>4.3800856644312383</c:v>
                </c:pt>
                <c:pt idx="54">
                  <c:v>4.3675685775257564</c:v>
                </c:pt>
                <c:pt idx="55">
                  <c:v>4.3555317857075764</c:v>
                </c:pt>
                <c:pt idx="56">
                  <c:v>4.3439666867681987</c:v>
                </c:pt>
                <c:pt idx="57">
                  <c:v>4.3328638278395317</c:v>
                </c:pt>
                <c:pt idx="58">
                  <c:v>4.3222129826714157</c:v>
                </c:pt>
                <c:pt idx="59">
                  <c:v>4.3120032324643169</c:v>
                </c:pt>
                <c:pt idx="60">
                  <c:v>4.3022230490009337</c:v>
                </c:pt>
                <c:pt idx="61">
                  <c:v>4.2928603788581254</c:v>
                </c:pt>
                <c:pt idx="62">
                  <c:v>4.283902727544822</c:v>
                </c:pt>
                <c:pt idx="63">
                  <c:v>4.2753372424981784</c:v>
                </c:pt>
                <c:pt idx="64">
                  <c:v>4.2671507939744915</c:v>
                </c:pt>
                <c:pt idx="65">
                  <c:v>4.2593300529883766</c:v>
                </c:pt>
                <c:pt idx="66">
                  <c:v>4.2518615655787109</c:v>
                </c:pt>
                <c:pt idx="67">
                  <c:v>4.2447318228083137</c:v>
                </c:pt>
                <c:pt idx="68">
                  <c:v>4.2379273260322083</c:v>
                </c:pt>
                <c:pt idx="69">
                  <c:v>4.2314346470931348</c:v>
                </c:pt>
                <c:pt idx="70">
                  <c:v>4.2252404832198103</c:v>
                </c:pt>
                <c:pt idx="71">
                  <c:v>4.2193317065110154</c:v>
                </c:pt>
                <c:pt idx="72">
                  <c:v>4.2136954079853917</c:v>
                </c:pt>
                <c:pt idx="73">
                  <c:v>4.2083189362617439</c:v>
                </c:pt>
                <c:pt idx="74">
                  <c:v>4.2031899310072394</c:v>
                </c:pt>
                <c:pt idx="75">
                  <c:v>4.1982963513511713</c:v>
                </c:pt>
                <c:pt idx="76">
                  <c:v>4.193626499510243</c:v>
                </c:pt>
                <c:pt idx="77">
                  <c:v>4.1891690399082693</c:v>
                </c:pt>
                <c:pt idx="78">
                  <c:v>4.1849130140997994</c:v>
                </c:pt>
                <c:pt idx="79">
                  <c:v>4.1808478518242795</c:v>
                </c:pt>
                <c:pt idx="80">
                  <c:v>4.1769633785263123</c:v>
                </c:pt>
                <c:pt idx="81">
                  <c:v>4.1732498196793246</c:v>
                </c:pt>
                <c:pt idx="82">
                  <c:v>4.1696978022457705</c:v>
                </c:pt>
                <c:pt idx="83">
                  <c:v>4.1662983535979032</c:v>
                </c:pt>
                <c:pt idx="84">
                  <c:v>4.1630428982101755</c:v>
                </c:pt>
                <c:pt idx="85">
                  <c:v>4.159923252418408</c:v>
                </c:pt>
                <c:pt idx="86">
                  <c:v>4.1569316175228197</c:v>
                </c:pt>
                <c:pt idx="87">
                  <c:v>4.1540605714925487</c:v>
                </c:pt>
                <c:pt idx="88">
                  <c:v>4.1513030595090559</c:v>
                </c:pt>
                <c:pt idx="89">
                  <c:v>4.1486523835652669</c:v>
                </c:pt>
                <c:pt idx="90">
                  <c:v>4.1461021913169587</c:v>
                </c:pt>
                <c:pt idx="91">
                  <c:v>4.1436464643630133</c:v>
                </c:pt>
                <c:pt idx="92">
                  <c:v>4.1412795061120207</c:v>
                </c:pt>
                <c:pt idx="93">
                  <c:v>4.1389959293745537</c:v>
                </c:pt>
                <c:pt idx="94">
                  <c:v>4.1367906438033408</c:v>
                </c:pt>
                <c:pt idx="95">
                  <c:v>4.1346588432876246</c:v>
                </c:pt>
                <c:pt idx="96">
                  <c:v>4.1325959933933074</c:v>
                </c:pt>
                <c:pt idx="97">
                  <c:v>4.1305978189270238</c:v>
                </c:pt>
                <c:pt idx="98">
                  <c:v>4.1286602916900028</c:v>
                </c:pt>
                <c:pt idx="99">
                  <c:v>4.1267796184765535</c:v>
                </c:pt>
                <c:pt idx="100">
                  <c:v>4.1249522293620835</c:v>
                </c:pt>
                <c:pt idx="101">
                  <c:v>4.1231747663166969</c:v>
                </c:pt>
                <c:pt idx="102">
                  <c:v>4.1214440721726318</c:v>
                </c:pt>
                <c:pt idx="103">
                  <c:v>4.1197571799668804</c:v>
                </c:pt>
                <c:pt idx="104">
                  <c:v>4.118111302674337</c:v>
                </c:pt>
                <c:pt idx="105">
                  <c:v>4.1165038233415991</c:v>
                </c:pt>
                <c:pt idx="106">
                  <c:v>4.1149322856270398</c:v>
                </c:pt>
                <c:pt idx="107">
                  <c:v>4.1133943847489434</c:v>
                </c:pt>
                <c:pt idx="108">
                  <c:v>4.1118879588402164</c:v>
                </c:pt>
                <c:pt idx="109">
                  <c:v>4.1104109807054803</c:v>
                </c:pt>
                <c:pt idx="110">
                  <c:v>4.1089615499740564</c:v>
                </c:pt>
                <c:pt idx="111">
                  <c:v>4.1075378856405313</c:v>
                </c:pt>
                <c:pt idx="112">
                  <c:v>4.1061383189830591</c:v>
                </c:pt>
                <c:pt idx="113">
                  <c:v>4.1047612868484249</c:v>
                </c:pt>
                <c:pt idx="114">
                  <c:v>4.1034053252919467</c:v>
                </c:pt>
                <c:pt idx="115">
                  <c:v>4.1020690635596688</c:v>
                </c:pt>
                <c:pt idx="116">
                  <c:v>4.1007512183998207</c:v>
                </c:pt>
                <c:pt idx="117">
                  <c:v>4.0994505886902335</c:v>
                </c:pt>
                <c:pt idx="118">
                  <c:v>4.0981660503682882</c:v>
                </c:pt>
                <c:pt idx="119">
                  <c:v>4.0968965516499321</c:v>
                </c:pt>
                <c:pt idx="120">
                  <c:v>4.0956411085244273</c:v>
                </c:pt>
                <c:pt idx="121">
                  <c:v>4.0943988005116623</c:v>
                </c:pt>
                <c:pt idx="122">
                  <c:v>4.0931687666690886</c:v>
                </c:pt>
                <c:pt idx="123">
                  <c:v>4.0919502018357079</c:v>
                </c:pt>
                <c:pt idx="124">
                  <c:v>4.0907423531008211</c:v>
                </c:pt>
                <c:pt idx="125">
                  <c:v>4.0895445164856961</c:v>
                </c:pt>
                <c:pt idx="126">
                  <c:v>4.0883560338266811</c:v>
                </c:pt>
                <c:pt idx="127">
                  <c:v>4.0871762898487569</c:v>
                </c:pt>
                <c:pt idx="128">
                  <c:v>4.086004709418928</c:v>
                </c:pt>
                <c:pt idx="129">
                  <c:v>4.0848407549693277</c:v>
                </c:pt>
                <c:pt idx="130">
                  <c:v>4.083683924080356</c:v>
                </c:pt>
                <c:pt idx="131">
                  <c:v>4.0825337472145895</c:v>
                </c:pt>
                <c:pt idx="132">
                  <c:v>4.0813897855926937</c:v>
                </c:pt>
                <c:pt idx="133">
                  <c:v>4.0802516292029489</c:v>
                </c:pt>
                <c:pt idx="134">
                  <c:v>4.0791188949364621</c:v>
                </c:pt>
                <c:pt idx="135">
                  <c:v>4.077991224840523</c:v>
                </c:pt>
                <c:pt idx="136">
                  <c:v>4.0768682844829787</c:v>
                </c:pt>
                <c:pt idx="137">
                  <c:v>4.0757497614208731</c:v>
                </c:pt>
                <c:pt idx="138">
                  <c:v>4.0746353637669781</c:v>
                </c:pt>
                <c:pt idx="139">
                  <c:v>4.0735248188481865</c:v>
                </c:pt>
                <c:pt idx="140">
                  <c:v>4.0724178719500888</c:v>
                </c:pt>
                <c:pt idx="141">
                  <c:v>4.0713142851423729</c:v>
                </c:pt>
                <c:pt idx="142">
                  <c:v>4.0702138361799944</c:v>
                </c:pt>
                <c:pt idx="143">
                  <c:v>4.0691163174753786</c:v>
                </c:pt>
                <c:pt idx="144">
                  <c:v>4.0680215351371647</c:v>
                </c:pt>
                <c:pt idx="145">
                  <c:v>4.066929308071292</c:v>
                </c:pt>
                <c:pt idx="146">
                  <c:v>4.0658394671404823</c:v>
                </c:pt>
                <c:pt idx="147">
                  <c:v>4.0647518543783931</c:v>
                </c:pt>
                <c:pt idx="148">
                  <c:v>4.0636663222549547</c:v>
                </c:pt>
                <c:pt idx="149">
                  <c:v>4.0625827329896289</c:v>
                </c:pt>
                <c:pt idx="150">
                  <c:v>4.0615009579094927</c:v>
                </c:pt>
                <c:pt idx="151">
                  <c:v>4.060420876849296</c:v>
                </c:pt>
                <c:pt idx="152">
                  <c:v>4.0593423775907516</c:v>
                </c:pt>
                <c:pt idx="153">
                  <c:v>4.0582653553385697</c:v>
                </c:pt>
                <c:pt idx="154">
                  <c:v>4.0571897122308158</c:v>
                </c:pt>
                <c:pt idx="155">
                  <c:v>4.056115356881401</c:v>
                </c:pt>
                <c:pt idx="156">
                  <c:v>4.0550422039526017</c:v>
                </c:pt>
                <c:pt idx="157">
                  <c:v>4.0539701737556681</c:v>
                </c:pt>
                <c:pt idx="158">
                  <c:v>4.0528991918776853</c:v>
                </c:pt>
                <c:pt idx="159">
                  <c:v>4.0518291888329765</c:v>
                </c:pt>
                <c:pt idx="160">
                  <c:v>4.0507600997374595</c:v>
                </c:pt>
                <c:pt idx="161">
                  <c:v>4.0496918640044361</c:v>
                </c:pt>
                <c:pt idx="162">
                  <c:v>4.0486244250604324</c:v>
                </c:pt>
                <c:pt idx="163">
                  <c:v>4.0475577300797667</c:v>
                </c:pt>
                <c:pt idx="164">
                  <c:v>4.0464917297366236</c:v>
                </c:pt>
                <c:pt idx="165">
                  <c:v>4.0454263779734809</c:v>
                </c:pt>
                <c:pt idx="166">
                  <c:v>4.0443616317848203</c:v>
                </c:pt>
                <c:pt idx="167">
                  <c:v>4.0432974510151212</c:v>
                </c:pt>
                <c:pt idx="168">
                  <c:v>4.0422337981701926</c:v>
                </c:pt>
                <c:pt idx="169">
                  <c:v>4.0411706382409651</c:v>
                </c:pt>
                <c:pt idx="170">
                  <c:v>4.0401079385389327</c:v>
                </c:pt>
                <c:pt idx="171">
                  <c:v>4.0390456685424692</c:v>
                </c:pt>
                <c:pt idx="172">
                  <c:v>4.0379837997533059</c:v>
                </c:pt>
                <c:pt idx="173">
                  <c:v>4.0369223055624976</c:v>
                </c:pt>
                <c:pt idx="174">
                  <c:v>4.0358611611252604</c:v>
                </c:pt>
                <c:pt idx="175">
                  <c:v>4.0348003432440835</c:v>
                </c:pt>
                <c:pt idx="176">
                  <c:v>4.0337398302595791</c:v>
                </c:pt>
                <c:pt idx="177">
                  <c:v>4.0326796019485531</c:v>
                </c:pt>
                <c:pt idx="178">
                  <c:v>4.0316196394288299</c:v>
                </c:pt>
                <c:pt idx="179">
                  <c:v>4.030559925070369</c:v>
                </c:pt>
                <c:pt idx="180">
                  <c:v>4.0295004424122709</c:v>
                </c:pt>
                <c:pt idx="181">
                  <c:v>4.0284411760852832</c:v>
                </c:pt>
                <c:pt idx="182">
                  <c:v>4.0273821117394304</c:v>
                </c:pt>
                <c:pt idx="183">
                  <c:v>4.0263232359764434</c:v>
                </c:pt>
                <c:pt idx="184">
                  <c:v>4.0252645362866666</c:v>
                </c:pt>
                <c:pt idx="185">
                  <c:v>4.0242060009901373</c:v>
                </c:pt>
                <c:pt idx="186">
                  <c:v>4.0231476191815769</c:v>
                </c:pt>
                <c:pt idx="187">
                  <c:v>4.0220893806790254</c:v>
                </c:pt>
                <c:pt idx="188">
                  <c:v>4.0210312759758748</c:v>
                </c:pt>
                <c:pt idx="189">
                  <c:v>4.0199732961960901</c:v>
                </c:pt>
                <c:pt idx="190">
                  <c:v>4.0189154330523884</c:v>
                </c:pt>
                <c:pt idx="191">
                  <c:v>4.0178576788071991</c:v>
                </c:pt>
                <c:pt idx="192">
                  <c:v>4.0168000262362069</c:v>
                </c:pt>
                <c:pt idx="193">
                  <c:v>4.0157424685943104</c:v>
                </c:pt>
                <c:pt idx="194">
                  <c:v>4.0146849995838449</c:v>
                </c:pt>
                <c:pt idx="195">
                  <c:v>4.0136276133248998</c:v>
                </c:pt>
                <c:pt idx="196">
                  <c:v>4.0125703043276175</c:v>
                </c:pt>
                <c:pt idx="197">
                  <c:v>4.0115130674663204</c:v>
                </c:pt>
                <c:pt idx="198">
                  <c:v>4.0104558979553522</c:v>
                </c:pt>
                <c:pt idx="199">
                  <c:v>4.0093987913265314</c:v>
                </c:pt>
                <c:pt idx="200">
                  <c:v>4.0083417434080868</c:v>
                </c:pt>
                <c:pt idx="201">
                  <c:v>4.0072847503049989</c:v>
                </c:pt>
                <c:pt idx="202">
                  <c:v>4.0062278083806442</c:v>
                </c:pt>
                <c:pt idx="203">
                  <c:v>4.0051709142396517</c:v>
                </c:pt>
                <c:pt idx="204">
                  <c:v>4.0041140647119011</c:v>
                </c:pt>
                <c:pt idx="205">
                  <c:v>4.0030572568375806</c:v>
                </c:pt>
                <c:pt idx="206">
                  <c:v>4.0020004878532376</c:v>
                </c:pt>
                <c:pt idx="207">
                  <c:v>4.0009437551787475</c:v>
                </c:pt>
                <c:pt idx="208">
                  <c:v>3.9998870564051616</c:v>
                </c:pt>
                <c:pt idx="209">
                  <c:v>3.9988303892833423</c:v>
                </c:pt>
                <c:pt idx="210">
                  <c:v>3.9977737517133658</c:v>
                </c:pt>
                <c:pt idx="211">
                  <c:v>3.9967171417346252</c:v>
                </c:pt>
                <c:pt idx="212">
                  <c:v>3.995660557516584</c:v>
                </c:pt>
                <c:pt idx="213">
                  <c:v>3.9946039973501506</c:v>
                </c:pt>
                <c:pt idx="214">
                  <c:v>3.993547459639621</c:v>
                </c:pt>
                <c:pt idx="215">
                  <c:v>3.992490942895154</c:v>
                </c:pt>
                <c:pt idx="216">
                  <c:v>3.9914344457257522</c:v>
                </c:pt>
                <c:pt idx="217">
                  <c:v>3.9903779668327015</c:v>
                </c:pt>
                <c:pt idx="218">
                  <c:v>3.989321505003451</c:v>
                </c:pt>
                <c:pt idx="219">
                  <c:v>3.9882650591058946</c:v>
                </c:pt>
                <c:pt idx="220">
                  <c:v>3.9872086280830361</c:v>
                </c:pt>
                <c:pt idx="221">
                  <c:v>3.9861522109480041</c:v>
                </c:pt>
                <c:pt idx="222">
                  <c:v>3.9850958067794022</c:v>
                </c:pt>
                <c:pt idx="223">
                  <c:v>3.9840394147169635</c:v>
                </c:pt>
                <c:pt idx="224">
                  <c:v>3.9829830339574954</c:v>
                </c:pt>
                <c:pt idx="225">
                  <c:v>3.9819266637510928</c:v>
                </c:pt>
                <c:pt idx="226">
                  <c:v>3.9808703033976034</c:v>
                </c:pt>
                <c:pt idx="227">
                  <c:v>3.9798139522433278</c:v>
                </c:pt>
                <c:pt idx="228">
                  <c:v>3.9787576096779351</c:v>
                </c:pt>
                <c:pt idx="229">
                  <c:v>3.9777012751315874</c:v>
                </c:pt>
                <c:pt idx="230">
                  <c:v>3.976644948072253</c:v>
                </c:pt>
                <c:pt idx="231">
                  <c:v>3.975588628003198</c:v>
                </c:pt>
                <c:pt idx="232">
                  <c:v>3.9745323144606459</c:v>
                </c:pt>
                <c:pt idx="233">
                  <c:v>3.9734760070115875</c:v>
                </c:pt>
                <c:pt idx="234">
                  <c:v>3.9724197052517436</c:v>
                </c:pt>
                <c:pt idx="235">
                  <c:v>3.9713634088036569</c:v>
                </c:pt>
                <c:pt idx="236">
                  <c:v>3.9703071173149125</c:v>
                </c:pt>
                <c:pt idx="237">
                  <c:v>3.9692508304564771</c:v>
                </c:pt>
                <c:pt idx="238">
                  <c:v>3.9681945479211471</c:v>
                </c:pt>
                <c:pt idx="239">
                  <c:v>3.9671382694221</c:v>
                </c:pt>
                <c:pt idx="240">
                  <c:v>3.9660819946915451</c:v>
                </c:pt>
                <c:pt idx="241">
                  <c:v>3.9650257234794557</c:v>
                </c:pt>
                <c:pt idx="242">
                  <c:v>3.9639694555523954</c:v>
                </c:pt>
                <c:pt idx="243">
                  <c:v>3.9629131906924147</c:v>
                </c:pt>
                <c:pt idx="244">
                  <c:v>3.9618569286960237</c:v>
                </c:pt>
                <c:pt idx="245">
                  <c:v>3.9608006693732341</c:v>
                </c:pt>
                <c:pt idx="246">
                  <c:v>3.9597444125466623</c:v>
                </c:pt>
                <c:pt idx="247">
                  <c:v>3.958688158050693</c:v>
                </c:pt>
                <c:pt idx="248">
                  <c:v>3.9576319057307003</c:v>
                </c:pt>
                <c:pt idx="249">
                  <c:v>3.9565756554423146</c:v>
                </c:pt>
                <c:pt idx="250">
                  <c:v>3.9555194070507467</c:v>
                </c:pt>
                <c:pt idx="251">
                  <c:v>3.9544631604301506</c:v>
                </c:pt>
                <c:pt idx="252">
                  <c:v>3.9534069154630274</c:v>
                </c:pt>
                <c:pt idx="253">
                  <c:v>3.9523506720396755</c:v>
                </c:pt>
                <c:pt idx="254">
                  <c:v>3.9512944300576716</c:v>
                </c:pt>
                <c:pt idx="255">
                  <c:v>3.9502381894213872</c:v>
                </c:pt>
                <c:pt idx="256">
                  <c:v>3.9491819500415386</c:v>
                </c:pt>
                <c:pt idx="257">
                  <c:v>3.9481257118347655</c:v>
                </c:pt>
                <c:pt idx="258">
                  <c:v>3.9470694747232393</c:v>
                </c:pt>
                <c:pt idx="259">
                  <c:v>3.9460132386342939</c:v>
                </c:pt>
                <c:pt idx="260">
                  <c:v>3.9449570035000843</c:v>
                </c:pt>
                <c:pt idx="261">
                  <c:v>3.9439007692572678</c:v>
                </c:pt>
                <c:pt idx="262">
                  <c:v>3.942844535846703</c:v>
                </c:pt>
                <c:pt idx="263">
                  <c:v>3.9417883032131735</c:v>
                </c:pt>
                <c:pt idx="264">
                  <c:v>3.9407320713051259</c:v>
                </c:pt>
                <c:pt idx="265">
                  <c:v>3.9396758400744272</c:v>
                </c:pt>
                <c:pt idx="266">
                  <c:v>3.9386196094761363</c:v>
                </c:pt>
                <c:pt idx="267">
                  <c:v>3.9375633794682967</c:v>
                </c:pt>
                <c:pt idx="268">
                  <c:v>3.9365071500117335</c:v>
                </c:pt>
                <c:pt idx="269">
                  <c:v>3.9354509210698714</c:v>
                </c:pt>
                <c:pt idx="270">
                  <c:v>3.9343946926085618</c:v>
                </c:pt>
                <c:pt idx="271">
                  <c:v>3.9333384645959217</c:v>
                </c:pt>
                <c:pt idx="272">
                  <c:v>3.9322822370021839</c:v>
                </c:pt>
                <c:pt idx="273">
                  <c:v>3.9312260097995555</c:v>
                </c:pt>
                <c:pt idx="274">
                  <c:v>3.9301697829620874</c:v>
                </c:pt>
                <c:pt idx="275">
                  <c:v>3.9291135564655528</c:v>
                </c:pt>
                <c:pt idx="276">
                  <c:v>3.9280573302873316</c:v>
                </c:pt>
                <c:pt idx="277">
                  <c:v>3.9270011044063056</c:v>
                </c:pt>
                <c:pt idx="278">
                  <c:v>3.9259448788027562</c:v>
                </c:pt>
                <c:pt idx="279">
                  <c:v>3.9248886534582743</c:v>
                </c:pt>
                <c:pt idx="280">
                  <c:v>3.9238324283556718</c:v>
                </c:pt>
                <c:pt idx="281">
                  <c:v>3.9227762034789002</c:v>
                </c:pt>
                <c:pt idx="282">
                  <c:v>3.9217199788129768</c:v>
                </c:pt>
                <c:pt idx="283">
                  <c:v>3.9206637543439129</c:v>
                </c:pt>
                <c:pt idx="284">
                  <c:v>3.9196075300586468</c:v>
                </c:pt>
                <c:pt idx="285">
                  <c:v>3.9185513059449848</c:v>
                </c:pt>
                <c:pt idx="286">
                  <c:v>3.9174950819915413</c:v>
                </c:pt>
                <c:pt idx="287">
                  <c:v>3.9164388581876861</c:v>
                </c:pt>
                <c:pt idx="288">
                  <c:v>3.9153826345234952</c:v>
                </c:pt>
                <c:pt idx="289">
                  <c:v>3.9143264109897018</c:v>
                </c:pt>
                <c:pt idx="290">
                  <c:v>3.9132701875776545</c:v>
                </c:pt>
                <c:pt idx="291">
                  <c:v>3.9122139642792764</c:v>
                </c:pt>
                <c:pt idx="292">
                  <c:v>3.9111577410870257</c:v>
                </c:pt>
                <c:pt idx="293">
                  <c:v>3.9101015179938603</c:v>
                </c:pt>
                <c:pt idx="294">
                  <c:v>3.9090452949932084</c:v>
                </c:pt>
                <c:pt idx="295">
                  <c:v>3.9079890720789296</c:v>
                </c:pt>
                <c:pt idx="296">
                  <c:v>3.9069328492452948</c:v>
                </c:pt>
                <c:pt idx="297">
                  <c:v>3.9058766264869536</c:v>
                </c:pt>
                <c:pt idx="298">
                  <c:v>3.9048204037989098</c:v>
                </c:pt>
                <c:pt idx="299">
                  <c:v>3.9037641811764998</c:v>
                </c:pt>
                <c:pt idx="300">
                  <c:v>3.9027079586153692</c:v>
                </c:pt>
                <c:pt idx="301">
                  <c:v>3.901651736111452</c:v>
                </c:pt>
                <c:pt idx="302">
                  <c:v>3.9005955136609525</c:v>
                </c:pt>
                <c:pt idx="303">
                  <c:v>3.8995392912603264</c:v>
                </c:pt>
                <c:pt idx="304">
                  <c:v>3.8984830689062653</c:v>
                </c:pt>
                <c:pt idx="305">
                  <c:v>3.8974268465956792</c:v>
                </c:pt>
                <c:pt idx="306">
                  <c:v>3.8963706243256837</c:v>
                </c:pt>
                <c:pt idx="307">
                  <c:v>3.8953144020935859</c:v>
                </c:pt>
                <c:pt idx="308">
                  <c:v>3.8942581798968714</c:v>
                </c:pt>
                <c:pt idx="309">
                  <c:v>3.8932019577331927</c:v>
                </c:pt>
                <c:pt idx="310">
                  <c:v>3.8921457356003586</c:v>
                </c:pt>
                <c:pt idx="311">
                  <c:v>3.8910895134963215</c:v>
                </c:pt>
                <c:pt idx="312">
                  <c:v>3.8900332914191713</c:v>
                </c:pt>
                <c:pt idx="313">
                  <c:v>3.8889770693671246</c:v>
                </c:pt>
                <c:pt idx="314">
                  <c:v>3.8879208473385152</c:v>
                </c:pt>
                <c:pt idx="315">
                  <c:v>3.8868646253317887</c:v>
                </c:pt>
                <c:pt idx="316">
                  <c:v>3.8858084033454929</c:v>
                </c:pt>
                <c:pt idx="317">
                  <c:v>3.8847521813782722</c:v>
                </c:pt>
                <c:pt idx="318">
                  <c:v>3.8836959594288611</c:v>
                </c:pt>
                <c:pt idx="319">
                  <c:v>3.8826397374960786</c:v>
                </c:pt>
                <c:pt idx="320">
                  <c:v>3.8815835155788205</c:v>
                </c:pt>
                <c:pt idx="321">
                  <c:v>3.8805272936760575</c:v>
                </c:pt>
                <c:pt idx="322">
                  <c:v>3.8794710717868277</c:v>
                </c:pt>
                <c:pt idx="323">
                  <c:v>3.8784148499102327</c:v>
                </c:pt>
                <c:pt idx="324">
                  <c:v>3.8773586280454353</c:v>
                </c:pt>
                <c:pt idx="325">
                  <c:v>3.8763024061916518</c:v>
                </c:pt>
                <c:pt idx="326">
                  <c:v>3.8752461843481516</c:v>
                </c:pt>
                <c:pt idx="327">
                  <c:v>3.8741899625142531</c:v>
                </c:pt>
                <c:pt idx="328">
                  <c:v>3.8731337406893185</c:v>
                </c:pt>
                <c:pt idx="329">
                  <c:v>3.8720775188727536</c:v>
                </c:pt>
                <c:pt idx="330">
                  <c:v>3.8710212970640034</c:v>
                </c:pt>
                <c:pt idx="331">
                  <c:v>3.8699650752625478</c:v>
                </c:pt>
                <c:pt idx="332">
                  <c:v>3.8689088534679046</c:v>
                </c:pt>
                <c:pt idx="333">
                  <c:v>3.8678526316796216</c:v>
                </c:pt>
                <c:pt idx="334">
                  <c:v>3.866796409897276</c:v>
                </c:pt>
                <c:pt idx="335">
                  <c:v>3.865740188120474</c:v>
                </c:pt>
                <c:pt idx="336">
                  <c:v>3.8646839663488484</c:v>
                </c:pt>
                <c:pt idx="337">
                  <c:v>3.8636277445820557</c:v>
                </c:pt>
                <c:pt idx="338">
                  <c:v>3.8625715228197746</c:v>
                </c:pt>
                <c:pt idx="339">
                  <c:v>3.861515301061706</c:v>
                </c:pt>
                <c:pt idx="340">
                  <c:v>3.8604590793075708</c:v>
                </c:pt>
                <c:pt idx="341">
                  <c:v>3.8594028575571082</c:v>
                </c:pt>
                <c:pt idx="342">
                  <c:v>3.858346635810074</c:v>
                </c:pt>
                <c:pt idx="343">
                  <c:v>3.8572904140662407</c:v>
                </c:pt>
                <c:pt idx="344">
                  <c:v>3.8562341923253962</c:v>
                </c:pt>
                <c:pt idx="345">
                  <c:v>3.8551779705873415</c:v>
                </c:pt>
                <c:pt idx="346">
                  <c:v>3.8541217488518926</c:v>
                </c:pt>
                <c:pt idx="347">
                  <c:v>3.8530655271188765</c:v>
                </c:pt>
                <c:pt idx="348">
                  <c:v>3.8520093053881315</c:v>
                </c:pt>
                <c:pt idx="349">
                  <c:v>3.8509530836595065</c:v>
                </c:pt>
                <c:pt idx="350">
                  <c:v>3.8498968619328613</c:v>
                </c:pt>
                <c:pt idx="351">
                  <c:v>3.8488406402080644</c:v>
                </c:pt>
                <c:pt idx="352">
                  <c:v>3.8477844184849932</c:v>
                </c:pt>
                <c:pt idx="353">
                  <c:v>3.8467281967635332</c:v>
                </c:pt>
                <c:pt idx="354">
                  <c:v>3.8456719750435777</c:v>
                </c:pt>
                <c:pt idx="355">
                  <c:v>3.8446157533250265</c:v>
                </c:pt>
                <c:pt idx="356">
                  <c:v>3.8435595316077866</c:v>
                </c:pt>
                <c:pt idx="357">
                  <c:v>3.8425033098917716</c:v>
                </c:pt>
                <c:pt idx="358">
                  <c:v>3.8414470881768992</c:v>
                </c:pt>
                <c:pt idx="359">
                  <c:v>3.8403908664630944</c:v>
                </c:pt>
                <c:pt idx="360">
                  <c:v>3.8393346447502852</c:v>
                </c:pt>
                <c:pt idx="361">
                  <c:v>3.8382784230384073</c:v>
                </c:pt>
                <c:pt idx="362">
                  <c:v>3.8372222013273976</c:v>
                </c:pt>
                <c:pt idx="363">
                  <c:v>3.8361659796171992</c:v>
                </c:pt>
                <c:pt idx="364">
                  <c:v>3.8351097579077575</c:v>
                </c:pt>
                <c:pt idx="365">
                  <c:v>3.8340535361990229</c:v>
                </c:pt>
                <c:pt idx="366">
                  <c:v>3.8329973144909486</c:v>
                </c:pt>
                <c:pt idx="367">
                  <c:v>3.8319410927834903</c:v>
                </c:pt>
                <c:pt idx="368">
                  <c:v>3.8308848710766075</c:v>
                </c:pt>
                <c:pt idx="369">
                  <c:v>3.8298286493702616</c:v>
                </c:pt>
                <c:pt idx="370">
                  <c:v>3.8287724276644175</c:v>
                </c:pt>
                <c:pt idx="371">
                  <c:v>3.8277162059590419</c:v>
                </c:pt>
                <c:pt idx="372">
                  <c:v>3.8266599842541034</c:v>
                </c:pt>
                <c:pt idx="373">
                  <c:v>3.8256037625495729</c:v>
                </c:pt>
                <c:pt idx="374">
                  <c:v>3.8245475408454235</c:v>
                </c:pt>
                <c:pt idx="375">
                  <c:v>3.8234913191416302</c:v>
                </c:pt>
                <c:pt idx="376">
                  <c:v>3.8224350974381687</c:v>
                </c:pt>
                <c:pt idx="377">
                  <c:v>3.8213788757350176</c:v>
                </c:pt>
                <c:pt idx="378">
                  <c:v>3.820322654032156</c:v>
                </c:pt>
                <c:pt idx="379">
                  <c:v>3.8192664323295649</c:v>
                </c:pt>
                <c:pt idx="380">
                  <c:v>3.8182102106272264</c:v>
                </c:pt>
                <c:pt idx="381">
                  <c:v>3.8171539889251234</c:v>
                </c:pt>
                <c:pt idx="382">
                  <c:v>3.8160977672232406</c:v>
                </c:pt>
                <c:pt idx="383">
                  <c:v>3.8150415455215629</c:v>
                </c:pt>
                <c:pt idx="384">
                  <c:v>3.8139853238200776</c:v>
                </c:pt>
                <c:pt idx="385">
                  <c:v>3.8129291021187708</c:v>
                </c:pt>
                <c:pt idx="386">
                  <c:v>3.8118728804176318</c:v>
                </c:pt>
                <c:pt idx="387">
                  <c:v>3.8108166587166483</c:v>
                </c:pt>
                <c:pt idx="388">
                  <c:v>3.8097604370158109</c:v>
                </c:pt>
                <c:pt idx="389">
                  <c:v>3.8087042153151098</c:v>
                </c:pt>
                <c:pt idx="390">
                  <c:v>3.8076479936145358</c:v>
                </c:pt>
                <c:pt idx="391">
                  <c:v>3.8065917719140803</c:v>
                </c:pt>
                <c:pt idx="392">
                  <c:v>3.8055355502137354</c:v>
                </c:pt>
                <c:pt idx="393">
                  <c:v>3.8044793285134935</c:v>
                </c:pt>
                <c:pt idx="394">
                  <c:v>3.8034231068133488</c:v>
                </c:pt>
                <c:pt idx="395">
                  <c:v>3.8023668851132939</c:v>
                </c:pt>
                <c:pt idx="396">
                  <c:v>3.8013106634133238</c:v>
                </c:pt>
                <c:pt idx="397">
                  <c:v>3.8002544417134319</c:v>
                </c:pt>
                <c:pt idx="398">
                  <c:v>3.7991982200136132</c:v>
                </c:pt>
                <c:pt idx="399">
                  <c:v>3.7981419983138629</c:v>
                </c:pt>
                <c:pt idx="400">
                  <c:v>3.797085776614177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046400"/>
        <c:axId val="240932048"/>
      </c:scatterChart>
      <c:valAx>
        <c:axId val="241046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32048"/>
        <c:crosses val="autoZero"/>
        <c:crossBetween val="midCat"/>
      </c:valAx>
      <c:valAx>
        <c:axId val="240932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046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'12662PC_Geeraerd_Tail'!$A$2:$A$19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'12662PC_Geeraerd_Tail'!$B$2:$B$19</c:f>
              <c:numCache>
                <c:formatCode>0.00</c:formatCode>
                <c:ptCount val="18"/>
                <c:pt idx="0">
                  <c:v>5.8633228601204559</c:v>
                </c:pt>
                <c:pt idx="1">
                  <c:v>3.4771212547196626</c:v>
                </c:pt>
                <c:pt idx="2">
                  <c:v>3.2380461031287955</c:v>
                </c:pt>
                <c:pt idx="3">
                  <c:v>3.8633228601204559</c:v>
                </c:pt>
                <c:pt idx="4">
                  <c:v>3.9030899869919438</c:v>
                </c:pt>
                <c:pt idx="5">
                  <c:v>3.667452952889954</c:v>
                </c:pt>
                <c:pt idx="6">
                  <c:v>5.6989700043360187</c:v>
                </c:pt>
                <c:pt idx="7">
                  <c:v>3.3673559210260189</c:v>
                </c:pt>
                <c:pt idx="8">
                  <c:v>3.7558748556724915</c:v>
                </c:pt>
                <c:pt idx="9">
                  <c:v>4.1238516409670858</c:v>
                </c:pt>
                <c:pt idx="10">
                  <c:v>3.9708116108725178</c:v>
                </c:pt>
                <c:pt idx="11">
                  <c:v>3.5440680443502757</c:v>
                </c:pt>
                <c:pt idx="12">
                  <c:v>5.6334684555795862</c:v>
                </c:pt>
                <c:pt idx="13">
                  <c:v>4.5145477526602864</c:v>
                </c:pt>
                <c:pt idx="14">
                  <c:v>3.167317334748176</c:v>
                </c:pt>
                <c:pt idx="15">
                  <c:v>3.2227164711475833</c:v>
                </c:pt>
                <c:pt idx="16">
                  <c:v>3.5854607295085006</c:v>
                </c:pt>
                <c:pt idx="17">
                  <c:v>2.9030899869919438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'12662PC_Geeraerd_Tail'!$A$23:$A$423</c:f>
              <c:numCache>
                <c:formatCode>0.000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'12662PC_Geeraerd_Tail'!$C$23:$C$423</c:f>
              <c:numCache>
                <c:formatCode>0.000</c:formatCode>
                <c:ptCount val="401"/>
                <c:pt idx="0">
                  <c:v>5.7324177678487702</c:v>
                </c:pt>
                <c:pt idx="1">
                  <c:v>5.6853566098278252</c:v>
                </c:pt>
                <c:pt idx="2">
                  <c:v>5.6383356923213199</c:v>
                </c:pt>
                <c:pt idx="3">
                  <c:v>5.5913595760685313</c:v>
                </c:pt>
                <c:pt idx="4">
                  <c:v>5.5444333283903484</c:v>
                </c:pt>
                <c:pt idx="5">
                  <c:v>5.4975625769733041</c:v>
                </c:pt>
                <c:pt idx="6">
                  <c:v>5.450753568764636</c:v>
                </c:pt>
                <c:pt idx="7">
                  <c:v>5.4040132343169853</c:v>
                </c:pt>
                <c:pt idx="8">
                  <c:v>5.3573492579051143</c:v>
                </c:pt>
                <c:pt idx="9">
                  <c:v>5.3107701537074368</c:v>
                </c:pt>
                <c:pt idx="10">
                  <c:v>5.2642853482988876</c:v>
                </c:pt>
                <c:pt idx="11">
                  <c:v>5.2179052696343549</c:v>
                </c:pt>
                <c:pt idx="12">
                  <c:v>5.1716414426088573</c:v>
                </c:pt>
                <c:pt idx="13">
                  <c:v>5.1255065911561291</c:v>
                </c:pt>
                <c:pt idx="14">
                  <c:v>5.0795147466851658</c:v>
                </c:pt>
                <c:pt idx="15">
                  <c:v>5.0336813624476102</c:v>
                </c:pt>
                <c:pt idx="16">
                  <c:v>4.9880234331702962</c:v>
                </c:pt>
                <c:pt idx="17">
                  <c:v>4.9425596189693319</c:v>
                </c:pt>
                <c:pt idx="18">
                  <c:v>4.8973103721775013</c:v>
                </c:pt>
                <c:pt idx="19">
                  <c:v>4.8522980652591805</c:v>
                </c:pt>
                <c:pt idx="20">
                  <c:v>4.8075471174517244</c:v>
                </c:pt>
                <c:pt idx="21">
                  <c:v>4.7630841171578187</c:v>
                </c:pt>
                <c:pt idx="22">
                  <c:v>4.718937936422317</c:v>
                </c:pt>
                <c:pt idx="23">
                  <c:v>4.6751398330685907</c:v>
                </c:pt>
                <c:pt idx="24">
                  <c:v>4.6317235352608295</c:v>
                </c:pt>
                <c:pt idx="25">
                  <c:v>4.5887253024279984</c:v>
                </c:pt>
                <c:pt idx="26">
                  <c:v>4.5461839556733787</c:v>
                </c:pt>
                <c:pt idx="27">
                  <c:v>4.5041408700569283</c:v>
                </c:pt>
                <c:pt idx="28">
                  <c:v>4.4626399205486607</c:v>
                </c:pt>
                <c:pt idx="29">
                  <c:v>4.421727373099011</c:v>
                </c:pt>
                <c:pt idx="30">
                  <c:v>4.3814517122605494</c:v>
                </c:pt>
                <c:pt idx="31">
                  <c:v>4.3418633972382317</c:v>
                </c:pt>
                <c:pt idx="32">
                  <c:v>4.3030145392584043</c:v>
                </c:pt>
                <c:pt idx="33">
                  <c:v>4.2649584948357484</c:v>
                </c:pt>
                <c:pt idx="34">
                  <c:v>4.2277493719618517</c:v>
                </c:pt>
                <c:pt idx="35">
                  <c:v>4.1914414494737153</c:v>
                </c:pt>
                <c:pt idx="36">
                  <c:v>4.1560885138538985</c:v>
                </c:pt>
                <c:pt idx="37">
                  <c:v>4.1217431223503151</c:v>
                </c:pt>
                <c:pt idx="38">
                  <c:v>4.0884558063683674</c:v>
                </c:pt>
                <c:pt idx="39">
                  <c:v>4.0562742342649525</c:v>
                </c:pt>
                <c:pt idx="40">
                  <c:v>4.0252423575553671</c:v>
                </c:pt>
                <c:pt idx="41">
                  <c:v>3.9953995686599306</c:v>
                </c:pt>
                <c:pt idx="42">
                  <c:v>3.9667799011800091</c:v>
                </c:pt>
                <c:pt idx="43">
                  <c:v>3.9394113048591022</c:v>
                </c:pt>
                <c:pt idx="44">
                  <c:v>3.9133150265200762</c:v>
                </c:pt>
                <c:pt idx="45">
                  <c:v>3.8885051252140439</c:v>
                </c:pt>
                <c:pt idx="46">
                  <c:v>3.8649881446280459</c:v>
                </c:pt>
                <c:pt idx="47">
                  <c:v>3.8427629587722856</c:v>
                </c:pt>
                <c:pt idx="48">
                  <c:v>3.8218207986162587</c:v>
                </c:pt>
                <c:pt idx="49">
                  <c:v>3.802145458344417</c:v>
                </c:pt>
                <c:pt idx="50">
                  <c:v>3.7837136710160464</c:v>
                </c:pt>
                <c:pt idx="51">
                  <c:v>3.7664956353865788</c:v>
                </c:pt>
                <c:pt idx="52">
                  <c:v>3.7504556691154556</c:v>
                </c:pt>
                <c:pt idx="53">
                  <c:v>3.7355529590020415</c:v>
                </c:pt>
                <c:pt idx="54">
                  <c:v>3.721742376481652</c:v>
                </c:pt>
                <c:pt idx="55">
                  <c:v>3.7089753263693988</c:v>
                </c:pt>
                <c:pt idx="56">
                  <c:v>3.6972005985433327</c:v>
                </c:pt>
                <c:pt idx="57">
                  <c:v>3.6863651955374013</c:v>
                </c:pt>
                <c:pt idx="58">
                  <c:v>3.6764151134055822</c:v>
                </c:pt>
                <c:pt idx="59">
                  <c:v>3.6672960582331768</c:v>
                </c:pt>
                <c:pt idx="60">
                  <c:v>3.6589540858537406</c:v>
                </c:pt>
                <c:pt idx="61">
                  <c:v>3.6513361572976271</c:v>
                </c:pt>
                <c:pt idx="62">
                  <c:v>3.6443906069637024</c:v>
                </c:pt>
                <c:pt idx="63">
                  <c:v>3.6380675242848692</c:v>
                </c:pt>
                <c:pt idx="64">
                  <c:v>3.6323190526610971</c:v>
                </c:pt>
                <c:pt idx="65">
                  <c:v>3.6270996116508871</c:v>
                </c:pt>
                <c:pt idx="66">
                  <c:v>3.6223660498933086</c:v>
                </c:pt>
                <c:pt idx="67">
                  <c:v>3.6180777370670918</c:v>
                </c:pt>
                <c:pt idx="68">
                  <c:v>3.6141966034908708</c:v>
                </c:pt>
                <c:pt idx="69">
                  <c:v>3.6106871358458279</c:v>
                </c:pt>
                <c:pt idx="70">
                  <c:v>3.6075163370702419</c:v>
                </c:pt>
                <c:pt idx="71">
                  <c:v>3.6046536578346435</c:v>
                </c:pt>
                <c:pt idx="72">
                  <c:v>3.6020709062408294</c:v>
                </c:pt>
                <c:pt idx="73">
                  <c:v>3.5997421415655433</c:v>
                </c:pt>
                <c:pt idx="74">
                  <c:v>3.5976435570417724</c:v>
                </c:pt>
                <c:pt idx="75">
                  <c:v>3.5957533558742987</c:v>
                </c:pt>
                <c:pt idx="76">
                  <c:v>3.5940516239460534</c:v>
                </c:pt>
                <c:pt idx="77">
                  <c:v>3.5925202020026505</c:v>
                </c:pt>
                <c:pt idx="78">
                  <c:v>3.5911425595111441</c:v>
                </c:pt>
                <c:pt idx="79">
                  <c:v>3.5899036718769124</c:v>
                </c:pt>
                <c:pt idx="80">
                  <c:v>3.5887899022669232</c:v>
                </c:pt>
                <c:pt idx="81">
                  <c:v>3.5877888889232845</c:v>
                </c:pt>
                <c:pt idx="82">
                  <c:v>3.5868894385512013</c:v>
                </c:pt>
                <c:pt idx="83">
                  <c:v>3.5860814261228917</c:v>
                </c:pt>
                <c:pt idx="84">
                  <c:v>3.5853557012461219</c:v>
                </c:pt>
                <c:pt idx="85">
                  <c:v>3.5847040010956182</c:v>
                </c:pt>
                <c:pt idx="86">
                  <c:v>3.5841188697909301</c:v>
                </c:pt>
                <c:pt idx="87">
                  <c:v>3.5835935840193649</c:v>
                </c:pt>
                <c:pt idx="88">
                  <c:v>3.5831220846419449</c:v>
                </c:pt>
                <c:pt idx="89">
                  <c:v>3.5826989139793497</c:v>
                </c:pt>
                <c:pt idx="90">
                  <c:v>3.5823191584494971</c:v>
                </c:pt>
                <c:pt idx="91">
                  <c:v>3.5819783962154133</c:v>
                </c:pt>
                <c:pt idx="92">
                  <c:v>3.581672649498568</c:v>
                </c:pt>
                <c:pt idx="93">
                  <c:v>3.5813983412165697</c:v>
                </c:pt>
                <c:pt idx="94">
                  <c:v>3.5811522556131585</c:v>
                </c:pt>
                <c:pt idx="95">
                  <c:v>3.5809315025612816</c:v>
                </c:pt>
                <c:pt idx="96">
                  <c:v>3.580733485235474</c:v>
                </c:pt>
                <c:pt idx="97">
                  <c:v>3.5805558708668306</c:v>
                </c:pt>
                <c:pt idx="98">
                  <c:v>3.5803965643118181</c:v>
                </c:pt>
                <c:pt idx="99">
                  <c:v>3.5802536841844592</c:v>
                </c:pt>
                <c:pt idx="100">
                  <c:v>3.5801255413195858</c:v>
                </c:pt>
                <c:pt idx="101">
                  <c:v>3.5800106193526142</c:v>
                </c:pt>
                <c:pt idx="102">
                  <c:v>3.5799075572183932</c:v>
                </c:pt>
                <c:pt idx="103">
                  <c:v>3.57981513338797</c:v>
                </c:pt>
                <c:pt idx="104">
                  <c:v>3.5797322516775218</c:v>
                </c:pt>
                <c:pt idx="105">
                  <c:v>3.579657928478142</c:v>
                </c:pt>
                <c:pt idx="106">
                  <c:v>3.5795912812686335</c:v>
                </c:pt>
                <c:pt idx="107">
                  <c:v>3.5795315182859619</c:v>
                </c:pt>
                <c:pt idx="108">
                  <c:v>3.5794779292395553</c:v>
                </c:pt>
                <c:pt idx="109">
                  <c:v>3.5794298769662598</c:v>
                </c:pt>
                <c:pt idx="110">
                  <c:v>3.5793867899325158</c:v>
                </c:pt>
                <c:pt idx="111">
                  <c:v>3.5793481554992153</c:v>
                </c:pt>
                <c:pt idx="112">
                  <c:v>3.5793135138728642</c:v>
                </c:pt>
                <c:pt idx="113">
                  <c:v>3.5792824526740681</c:v>
                </c:pt>
                <c:pt idx="114">
                  <c:v>3.5792546020611185</c:v>
                </c:pt>
                <c:pt idx="115">
                  <c:v>3.5792296303525633</c:v>
                </c:pt>
                <c:pt idx="116">
                  <c:v>3.5792072400982033</c:v>
                </c:pt>
                <c:pt idx="117">
                  <c:v>3.5791871645529807</c:v>
                </c:pt>
                <c:pt idx="118">
                  <c:v>3.579169164512765</c:v>
                </c:pt>
                <c:pt idx="119">
                  <c:v>3.5791530254751556</c:v>
                </c:pt>
                <c:pt idx="120">
                  <c:v>3.5791385550921242</c:v>
                </c:pt>
                <c:pt idx="121">
                  <c:v>3.579125580884666</c:v>
                </c:pt>
                <c:pt idx="122">
                  <c:v>3.5791139481926448</c:v>
                </c:pt>
                <c:pt idx="123">
                  <c:v>3.5791035183357378</c:v>
                </c:pt>
                <c:pt idx="124">
                  <c:v>3.579094166963829</c:v>
                </c:pt>
                <c:pt idx="125">
                  <c:v>3.5790857825774061</c:v>
                </c:pt>
                <c:pt idx="126">
                  <c:v>3.5790782652004975</c:v>
                </c:pt>
                <c:pt idx="127">
                  <c:v>3.5790715251904648</c:v>
                </c:pt>
                <c:pt idx="128">
                  <c:v>3.5790654821705816</c:v>
                </c:pt>
                <c:pt idx="129">
                  <c:v>3.5790600640727521</c:v>
                </c:pt>
                <c:pt idx="130">
                  <c:v>3.5790552062790324</c:v>
                </c:pt>
                <c:pt idx="131">
                  <c:v>3.5790508508517784</c:v>
                </c:pt>
                <c:pt idx="132">
                  <c:v>3.5790469458432805</c:v>
                </c:pt>
                <c:pt idx="133">
                  <c:v>3.5790434446766946</c:v>
                </c:pt>
                <c:pt idx="134">
                  <c:v>3.5790403055909126</c:v>
                </c:pt>
                <c:pt idx="135">
                  <c:v>3.5790374911427807</c:v>
                </c:pt>
                <c:pt idx="136">
                  <c:v>3.5790349677607449</c:v>
                </c:pt>
                <c:pt idx="137">
                  <c:v>3.5790327053446145</c:v>
                </c:pt>
                <c:pt idx="138">
                  <c:v>3.5790306769066857</c:v>
                </c:pt>
                <c:pt idx="139">
                  <c:v>3.5790288582499521</c:v>
                </c:pt>
                <c:pt idx="140">
                  <c:v>3.5790272276795752</c:v>
                </c:pt>
                <c:pt idx="141">
                  <c:v>3.5790257657441726</c:v>
                </c:pt>
                <c:pt idx="142">
                  <c:v>3.5790244550038555</c:v>
                </c:pt>
                <c:pt idx="143">
                  <c:v>3.5790232798222372</c:v>
                </c:pt>
                <c:pt idx="144">
                  <c:v>3.5790222261799487</c:v>
                </c:pt>
                <c:pt idx="145">
                  <c:v>3.5790212815074316</c:v>
                </c:pt>
                <c:pt idx="146">
                  <c:v>3.5790204345350181</c:v>
                </c:pt>
                <c:pt idx="147">
                  <c:v>3.5790196751585115</c:v>
                </c:pt>
                <c:pt idx="148">
                  <c:v>3.5790189943186634</c:v>
                </c:pt>
                <c:pt idx="149">
                  <c:v>3.5790183838931178</c:v>
                </c:pt>
                <c:pt idx="150">
                  <c:v>3.5790178365995198</c:v>
                </c:pt>
                <c:pt idx="151">
                  <c:v>3.5790173459086518</c:v>
                </c:pt>
                <c:pt idx="152">
                  <c:v>3.579016905966546</c:v>
                </c:pt>
                <c:pt idx="153">
                  <c:v>3.5790165115246522</c:v>
                </c:pt>
                <c:pt idx="154">
                  <c:v>3.5790161578772288</c:v>
                </c:pt>
                <c:pt idx="155">
                  <c:v>3.5790158408052068</c:v>
                </c:pt>
                <c:pt idx="156">
                  <c:v>3.5790155565258583</c:v>
                </c:pt>
                <c:pt idx="157">
                  <c:v>3.5790153016476709</c:v>
                </c:pt>
                <c:pt idx="158">
                  <c:v>3.5790150731298889</c:v>
                </c:pt>
                <c:pt idx="159">
                  <c:v>3.5790148682462375</c:v>
                </c:pt>
                <c:pt idx="160">
                  <c:v>3.5790146845523991</c:v>
                </c:pt>
                <c:pt idx="161">
                  <c:v>3.5790145198568544</c:v>
                </c:pt>
                <c:pt idx="162">
                  <c:v>3.5790143721947354</c:v>
                </c:pt>
                <c:pt idx="163">
                  <c:v>3.5790142398043869</c:v>
                </c:pt>
                <c:pt idx="164">
                  <c:v>3.5790141211063493</c:v>
                </c:pt>
                <c:pt idx="165">
                  <c:v>3.5790140146845149</c:v>
                </c:pt>
                <c:pt idx="166">
                  <c:v>3.5790139192692347</c:v>
                </c:pt>
                <c:pt idx="167">
                  <c:v>3.5790138337221706</c:v>
                </c:pt>
                <c:pt idx="168">
                  <c:v>3.5790137570227154</c:v>
                </c:pt>
                <c:pt idx="169">
                  <c:v>3.5790136882558166</c:v>
                </c:pt>
                <c:pt idx="170">
                  <c:v>3.5790136266010588</c:v>
                </c:pt>
                <c:pt idx="171">
                  <c:v>3.5790135713228781</c:v>
                </c:pt>
                <c:pt idx="172">
                  <c:v>3.5790135217617842</c:v>
                </c:pt>
                <c:pt idx="173">
                  <c:v>3.5790134773264946</c:v>
                </c:pt>
                <c:pt idx="174">
                  <c:v>3.5790134374868781</c:v>
                </c:pt>
                <c:pt idx="175">
                  <c:v>3.5790134017676327</c:v>
                </c:pt>
                <c:pt idx="176">
                  <c:v>3.5790133697426136</c:v>
                </c:pt>
                <c:pt idx="177">
                  <c:v>3.5790133410297491</c:v>
                </c:pt>
                <c:pt idx="178">
                  <c:v>3.5790133152864838</c:v>
                </c:pt>
                <c:pt idx="179">
                  <c:v>3.5790132922056896</c:v>
                </c:pt>
                <c:pt idx="180">
                  <c:v>3.5790132715120038</c:v>
                </c:pt>
                <c:pt idx="181">
                  <c:v>3.5790132529585414</c:v>
                </c:pt>
                <c:pt idx="182">
                  <c:v>3.5790132363239526</c:v>
                </c:pt>
                <c:pt idx="183">
                  <c:v>3.5790132214097796</c:v>
                </c:pt>
                <c:pt idx="184">
                  <c:v>3.5790132080380901</c:v>
                </c:pt>
                <c:pt idx="185">
                  <c:v>3.5790131960493548</c:v>
                </c:pt>
                <c:pt idx="186">
                  <c:v>3.5790131853005422</c:v>
                </c:pt>
                <c:pt idx="187">
                  <c:v>3.5790131756634156</c:v>
                </c:pt>
                <c:pt idx="188">
                  <c:v>3.5790131670229988</c:v>
                </c:pt>
                <c:pt idx="189">
                  <c:v>3.5790131592762089</c:v>
                </c:pt>
                <c:pt idx="190">
                  <c:v>3.5790131523306234</c:v>
                </c:pt>
                <c:pt idx="191">
                  <c:v>3.5790131461033781</c:v>
                </c:pt>
                <c:pt idx="192">
                  <c:v>3.5790131405201797</c:v>
                </c:pt>
                <c:pt idx="193">
                  <c:v>3.5790131355144186</c:v>
                </c:pt>
                <c:pt idx="194">
                  <c:v>3.5790131310263731</c:v>
                </c:pt>
                <c:pt idx="195">
                  <c:v>3.5790131270024994</c:v>
                </c:pt>
                <c:pt idx="196">
                  <c:v>3.5790131233947906</c:v>
                </c:pt>
                <c:pt idx="197">
                  <c:v>3.579013120160206</c:v>
                </c:pt>
                <c:pt idx="198">
                  <c:v>3.5790131172601551</c:v>
                </c:pt>
                <c:pt idx="199">
                  <c:v>3.5790131146600395</c:v>
                </c:pt>
                <c:pt idx="200">
                  <c:v>3.579013112328838</c:v>
                </c:pt>
                <c:pt idx="201">
                  <c:v>3.5790131102387388</c:v>
                </c:pt>
                <c:pt idx="202">
                  <c:v>3.5790131083648062</c:v>
                </c:pt>
                <c:pt idx="203">
                  <c:v>3.5790131066846831</c:v>
                </c:pt>
                <c:pt idx="204">
                  <c:v>3.5790131051783254</c:v>
                </c:pt>
                <c:pt idx="205">
                  <c:v>3.5790131038277608</c:v>
                </c:pt>
                <c:pt idx="206">
                  <c:v>3.5790131026168774</c:v>
                </c:pt>
                <c:pt idx="207">
                  <c:v>3.5790131015312285</c:v>
                </c:pt>
                <c:pt idx="208">
                  <c:v>3.5790131005578618</c:v>
                </c:pt>
                <c:pt idx="209">
                  <c:v>3.5790130996851643</c:v>
                </c:pt>
                <c:pt idx="210">
                  <c:v>3.5790130989027253</c:v>
                </c:pt>
                <c:pt idx="211">
                  <c:v>3.5790130982012087</c:v>
                </c:pt>
                <c:pt idx="212">
                  <c:v>3.5790130975722461</c:v>
                </c:pt>
                <c:pt idx="213">
                  <c:v>3.5790130970083331</c:v>
                </c:pt>
                <c:pt idx="214">
                  <c:v>3.5790130965027425</c:v>
                </c:pt>
                <c:pt idx="215">
                  <c:v>3.579013096049442</c:v>
                </c:pt>
                <c:pt idx="216">
                  <c:v>3.5790130956430239</c:v>
                </c:pt>
                <c:pt idx="217">
                  <c:v>3.579013095278639</c:v>
                </c:pt>
                <c:pt idx="218">
                  <c:v>3.5790130949519403</c:v>
                </c:pt>
                <c:pt idx="219">
                  <c:v>3.5790130946590302</c:v>
                </c:pt>
                <c:pt idx="220">
                  <c:v>3.579013094396414</c:v>
                </c:pt>
                <c:pt idx="221">
                  <c:v>3.5790130941609584</c:v>
                </c:pt>
                <c:pt idx="222">
                  <c:v>3.5790130939498548</c:v>
                </c:pt>
                <c:pt idx="223">
                  <c:v>3.5790130937605844</c:v>
                </c:pt>
                <c:pt idx="224">
                  <c:v>3.579013093590889</c:v>
                </c:pt>
                <c:pt idx="225">
                  <c:v>3.5790130934387441</c:v>
                </c:pt>
                <c:pt idx="226">
                  <c:v>3.579013093302335</c:v>
                </c:pt>
                <c:pt idx="227">
                  <c:v>3.5790130931800337</c:v>
                </c:pt>
                <c:pt idx="228">
                  <c:v>3.579013093070381</c:v>
                </c:pt>
                <c:pt idx="229">
                  <c:v>3.5790130929720694</c:v>
                </c:pt>
                <c:pt idx="230">
                  <c:v>3.5790130928839252</c:v>
                </c:pt>
                <c:pt idx="231">
                  <c:v>3.5790130928048978</c:v>
                </c:pt>
                <c:pt idx="232">
                  <c:v>3.5790130927340433</c:v>
                </c:pt>
                <c:pt idx="233">
                  <c:v>3.5790130926705168</c:v>
                </c:pt>
                <c:pt idx="234">
                  <c:v>3.5790130926135606</c:v>
                </c:pt>
                <c:pt idx="235">
                  <c:v>3.5790130925624952</c:v>
                </c:pt>
                <c:pt idx="236">
                  <c:v>3.579013092516711</c:v>
                </c:pt>
                <c:pt idx="237">
                  <c:v>3.579013092475662</c:v>
                </c:pt>
                <c:pt idx="238">
                  <c:v>3.5790130924388586</c:v>
                </c:pt>
                <c:pt idx="239">
                  <c:v>3.5790130924058614</c:v>
                </c:pt>
                <c:pt idx="240">
                  <c:v>3.5790130923762771</c:v>
                </c:pt>
                <c:pt idx="241">
                  <c:v>3.5790130923497525</c:v>
                </c:pt>
                <c:pt idx="242">
                  <c:v>3.5790130923259711</c:v>
                </c:pt>
                <c:pt idx="243">
                  <c:v>3.579013092304649</c:v>
                </c:pt>
                <c:pt idx="244">
                  <c:v>3.5790130922855323</c:v>
                </c:pt>
                <c:pt idx="245">
                  <c:v>3.5790130922683931</c:v>
                </c:pt>
                <c:pt idx="246">
                  <c:v>3.5790130922530259</c:v>
                </c:pt>
                <c:pt idx="247">
                  <c:v>3.5790130922392485</c:v>
                </c:pt>
                <c:pt idx="248">
                  <c:v>3.5790130922268957</c:v>
                </c:pt>
                <c:pt idx="249">
                  <c:v>3.5790130922158205</c:v>
                </c:pt>
                <c:pt idx="250">
                  <c:v>3.5790130922058911</c:v>
                </c:pt>
                <c:pt idx="251">
                  <c:v>3.5790130921969885</c:v>
                </c:pt>
                <c:pt idx="252">
                  <c:v>3.5790130921890064</c:v>
                </c:pt>
                <c:pt idx="253">
                  <c:v>3.5790130921818499</c:v>
                </c:pt>
                <c:pt idx="254">
                  <c:v>3.5790130921754337</c:v>
                </c:pt>
                <c:pt idx="255">
                  <c:v>3.579013092169681</c:v>
                </c:pt>
                <c:pt idx="256">
                  <c:v>3.5790130921645233</c:v>
                </c:pt>
                <c:pt idx="257">
                  <c:v>3.579013092159899</c:v>
                </c:pt>
                <c:pt idx="258">
                  <c:v>3.579013092155753</c:v>
                </c:pt>
                <c:pt idx="259">
                  <c:v>3.579013092152036</c:v>
                </c:pt>
                <c:pt idx="260">
                  <c:v>3.5790130921487031</c:v>
                </c:pt>
                <c:pt idx="261">
                  <c:v>3.5790130921457148</c:v>
                </c:pt>
                <c:pt idx="262">
                  <c:v>3.5790130921430361</c:v>
                </c:pt>
                <c:pt idx="263">
                  <c:v>3.579013092140634</c:v>
                </c:pt>
                <c:pt idx="264">
                  <c:v>3.5790130921384806</c:v>
                </c:pt>
                <c:pt idx="265">
                  <c:v>3.5790130921365497</c:v>
                </c:pt>
                <c:pt idx="266">
                  <c:v>3.5790130921348187</c:v>
                </c:pt>
                <c:pt idx="267">
                  <c:v>3.5790130921332666</c:v>
                </c:pt>
                <c:pt idx="268">
                  <c:v>3.5790130921318748</c:v>
                </c:pt>
                <c:pt idx="269">
                  <c:v>3.5790130921306273</c:v>
                </c:pt>
                <c:pt idx="270">
                  <c:v>3.5790130921295087</c:v>
                </c:pt>
                <c:pt idx="271">
                  <c:v>3.5790130921285059</c:v>
                </c:pt>
                <c:pt idx="272">
                  <c:v>3.5790130921276067</c:v>
                </c:pt>
                <c:pt idx="273">
                  <c:v>3.5790130921268002</c:v>
                </c:pt>
                <c:pt idx="274">
                  <c:v>3.5790130921260777</c:v>
                </c:pt>
                <c:pt idx="275">
                  <c:v>3.5790130921254297</c:v>
                </c:pt>
                <c:pt idx="276">
                  <c:v>3.5790130921248484</c:v>
                </c:pt>
                <c:pt idx="277">
                  <c:v>3.5790130921243275</c:v>
                </c:pt>
                <c:pt idx="278">
                  <c:v>3.5790130921238603</c:v>
                </c:pt>
                <c:pt idx="279">
                  <c:v>3.5790130921234415</c:v>
                </c:pt>
                <c:pt idx="280">
                  <c:v>3.5790130921230663</c:v>
                </c:pt>
                <c:pt idx="281">
                  <c:v>3.5790130921227297</c:v>
                </c:pt>
                <c:pt idx="282">
                  <c:v>3.5790130921224277</c:v>
                </c:pt>
                <c:pt idx="283">
                  <c:v>3.5790130921221572</c:v>
                </c:pt>
                <c:pt idx="284">
                  <c:v>3.5790130921219148</c:v>
                </c:pt>
                <c:pt idx="285">
                  <c:v>3.5790130921216972</c:v>
                </c:pt>
                <c:pt idx="286">
                  <c:v>3.5790130921215022</c:v>
                </c:pt>
                <c:pt idx="287">
                  <c:v>3.5790130921213272</c:v>
                </c:pt>
                <c:pt idx="288">
                  <c:v>3.5790130921211705</c:v>
                </c:pt>
                <c:pt idx="289">
                  <c:v>3.5790130921210301</c:v>
                </c:pt>
                <c:pt idx="290">
                  <c:v>3.579013092120904</c:v>
                </c:pt>
                <c:pt idx="291">
                  <c:v>3.5790130921207912</c:v>
                </c:pt>
                <c:pt idx="292">
                  <c:v>3.5790130921206895</c:v>
                </c:pt>
                <c:pt idx="293">
                  <c:v>3.5790130921205989</c:v>
                </c:pt>
                <c:pt idx="294">
                  <c:v>3.5790130921205177</c:v>
                </c:pt>
                <c:pt idx="295">
                  <c:v>3.5790130921204444</c:v>
                </c:pt>
                <c:pt idx="296">
                  <c:v>3.5790130921203791</c:v>
                </c:pt>
                <c:pt idx="297">
                  <c:v>3.5790130921203205</c:v>
                </c:pt>
                <c:pt idx="298">
                  <c:v>3.5790130921202676</c:v>
                </c:pt>
                <c:pt idx="299">
                  <c:v>3.5790130921202206</c:v>
                </c:pt>
                <c:pt idx="300">
                  <c:v>3.5790130921201784</c:v>
                </c:pt>
                <c:pt idx="301">
                  <c:v>3.5790130921201402</c:v>
                </c:pt>
                <c:pt idx="302">
                  <c:v>3.5790130921201064</c:v>
                </c:pt>
                <c:pt idx="303">
                  <c:v>3.5790130921200758</c:v>
                </c:pt>
                <c:pt idx="304">
                  <c:v>3.5790130921200487</c:v>
                </c:pt>
                <c:pt idx="305">
                  <c:v>3.5790130921200238</c:v>
                </c:pt>
                <c:pt idx="306">
                  <c:v>3.5790130921200021</c:v>
                </c:pt>
                <c:pt idx="307">
                  <c:v>3.5790130921199825</c:v>
                </c:pt>
                <c:pt idx="308">
                  <c:v>3.5790130921199648</c:v>
                </c:pt>
                <c:pt idx="309">
                  <c:v>3.5790130921199488</c:v>
                </c:pt>
                <c:pt idx="310">
                  <c:v>3.5790130921199346</c:v>
                </c:pt>
                <c:pt idx="311">
                  <c:v>3.5790130921199217</c:v>
                </c:pt>
                <c:pt idx="312">
                  <c:v>3.5790130921199106</c:v>
                </c:pt>
                <c:pt idx="313">
                  <c:v>3.5790130921199004</c:v>
                </c:pt>
                <c:pt idx="314">
                  <c:v>3.579013092119891</c:v>
                </c:pt>
                <c:pt idx="315">
                  <c:v>3.5790130921198831</c:v>
                </c:pt>
                <c:pt idx="316">
                  <c:v>3.5790130921198755</c:v>
                </c:pt>
                <c:pt idx="317">
                  <c:v>3.5790130921198688</c:v>
                </c:pt>
                <c:pt idx="318">
                  <c:v>3.5790130921198631</c:v>
                </c:pt>
                <c:pt idx="319">
                  <c:v>3.5790130921198577</c:v>
                </c:pt>
                <c:pt idx="320">
                  <c:v>3.5790130921198529</c:v>
                </c:pt>
                <c:pt idx="321">
                  <c:v>3.5790130921198484</c:v>
                </c:pt>
                <c:pt idx="322">
                  <c:v>3.5790130921198449</c:v>
                </c:pt>
                <c:pt idx="323">
                  <c:v>3.5790130921198413</c:v>
                </c:pt>
                <c:pt idx="324">
                  <c:v>3.5790130921198382</c:v>
                </c:pt>
                <c:pt idx="325">
                  <c:v>3.5790130921198355</c:v>
                </c:pt>
                <c:pt idx="326">
                  <c:v>3.5790130921198329</c:v>
                </c:pt>
                <c:pt idx="327">
                  <c:v>3.5790130921198307</c:v>
                </c:pt>
                <c:pt idx="328">
                  <c:v>3.5790130921198289</c:v>
                </c:pt>
                <c:pt idx="329">
                  <c:v>3.5790130921198271</c:v>
                </c:pt>
                <c:pt idx="330">
                  <c:v>3.5790130921198253</c:v>
                </c:pt>
                <c:pt idx="331">
                  <c:v>3.579013092119824</c:v>
                </c:pt>
                <c:pt idx="332">
                  <c:v>3.5790130921198227</c:v>
                </c:pt>
                <c:pt idx="333">
                  <c:v>3.5790130921198218</c:v>
                </c:pt>
                <c:pt idx="334">
                  <c:v>3.5790130921198204</c:v>
                </c:pt>
                <c:pt idx="335">
                  <c:v>3.5790130921198196</c:v>
                </c:pt>
                <c:pt idx="336">
                  <c:v>3.5790130921198187</c:v>
                </c:pt>
                <c:pt idx="337">
                  <c:v>3.5790130921198182</c:v>
                </c:pt>
                <c:pt idx="338">
                  <c:v>3.5790130921198173</c:v>
                </c:pt>
                <c:pt idx="339">
                  <c:v>3.5790130921198169</c:v>
                </c:pt>
                <c:pt idx="340">
                  <c:v>3.579013092119816</c:v>
                </c:pt>
                <c:pt idx="341">
                  <c:v>3.5790130921198156</c:v>
                </c:pt>
                <c:pt idx="342">
                  <c:v>3.5790130921198151</c:v>
                </c:pt>
                <c:pt idx="343">
                  <c:v>3.5790130921198151</c:v>
                </c:pt>
                <c:pt idx="344">
                  <c:v>3.5790130921198147</c:v>
                </c:pt>
                <c:pt idx="345">
                  <c:v>3.5790130921198142</c:v>
                </c:pt>
                <c:pt idx="346">
                  <c:v>3.5790130921198138</c:v>
                </c:pt>
                <c:pt idx="347">
                  <c:v>3.5790130921198138</c:v>
                </c:pt>
                <c:pt idx="348">
                  <c:v>3.5790130921198133</c:v>
                </c:pt>
                <c:pt idx="349">
                  <c:v>3.5790130921198133</c:v>
                </c:pt>
                <c:pt idx="350">
                  <c:v>3.5790130921198133</c:v>
                </c:pt>
                <c:pt idx="351">
                  <c:v>3.5790130921198129</c:v>
                </c:pt>
                <c:pt idx="352">
                  <c:v>3.5790130921198129</c:v>
                </c:pt>
                <c:pt idx="353">
                  <c:v>3.5790130921198129</c:v>
                </c:pt>
                <c:pt idx="354">
                  <c:v>3.5790130921198124</c:v>
                </c:pt>
                <c:pt idx="355">
                  <c:v>3.5790130921198124</c:v>
                </c:pt>
                <c:pt idx="356">
                  <c:v>3.5790130921198124</c:v>
                </c:pt>
                <c:pt idx="357">
                  <c:v>3.5790130921198124</c:v>
                </c:pt>
                <c:pt idx="358">
                  <c:v>3.5790130921198124</c:v>
                </c:pt>
                <c:pt idx="359">
                  <c:v>3.579013092119812</c:v>
                </c:pt>
                <c:pt idx="360">
                  <c:v>3.579013092119812</c:v>
                </c:pt>
                <c:pt idx="361">
                  <c:v>3.579013092119812</c:v>
                </c:pt>
                <c:pt idx="362">
                  <c:v>3.579013092119812</c:v>
                </c:pt>
                <c:pt idx="363">
                  <c:v>3.579013092119812</c:v>
                </c:pt>
                <c:pt idx="364">
                  <c:v>3.579013092119812</c:v>
                </c:pt>
                <c:pt idx="365">
                  <c:v>3.579013092119812</c:v>
                </c:pt>
                <c:pt idx="366">
                  <c:v>3.579013092119812</c:v>
                </c:pt>
                <c:pt idx="367">
                  <c:v>3.579013092119812</c:v>
                </c:pt>
                <c:pt idx="368">
                  <c:v>3.579013092119812</c:v>
                </c:pt>
                <c:pt idx="369">
                  <c:v>3.579013092119812</c:v>
                </c:pt>
                <c:pt idx="370">
                  <c:v>3.5790130921198116</c:v>
                </c:pt>
                <c:pt idx="371">
                  <c:v>3.5790130921198116</c:v>
                </c:pt>
                <c:pt idx="372">
                  <c:v>3.5790130921198116</c:v>
                </c:pt>
                <c:pt idx="373">
                  <c:v>3.5790130921198116</c:v>
                </c:pt>
                <c:pt idx="374">
                  <c:v>3.5790130921198116</c:v>
                </c:pt>
                <c:pt idx="375">
                  <c:v>3.5790130921198116</c:v>
                </c:pt>
                <c:pt idx="376">
                  <c:v>3.5790130921198116</c:v>
                </c:pt>
                <c:pt idx="377">
                  <c:v>3.5790130921198116</c:v>
                </c:pt>
                <c:pt idx="378">
                  <c:v>3.5790130921198116</c:v>
                </c:pt>
                <c:pt idx="379">
                  <c:v>3.5790130921198116</c:v>
                </c:pt>
                <c:pt idx="380">
                  <c:v>3.5790130921198116</c:v>
                </c:pt>
                <c:pt idx="381">
                  <c:v>3.5790130921198116</c:v>
                </c:pt>
                <c:pt idx="382">
                  <c:v>3.5790130921198116</c:v>
                </c:pt>
                <c:pt idx="383">
                  <c:v>3.5790130921198116</c:v>
                </c:pt>
                <c:pt idx="384">
                  <c:v>3.5790130921198116</c:v>
                </c:pt>
                <c:pt idx="385">
                  <c:v>3.5790130921198116</c:v>
                </c:pt>
                <c:pt idx="386">
                  <c:v>3.5790130921198116</c:v>
                </c:pt>
                <c:pt idx="387">
                  <c:v>3.5790130921198116</c:v>
                </c:pt>
                <c:pt idx="388">
                  <c:v>3.5790130921198116</c:v>
                </c:pt>
                <c:pt idx="389">
                  <c:v>3.5790130921198116</c:v>
                </c:pt>
                <c:pt idx="390">
                  <c:v>3.5790130921198116</c:v>
                </c:pt>
                <c:pt idx="391">
                  <c:v>3.5790130921198116</c:v>
                </c:pt>
                <c:pt idx="392">
                  <c:v>3.5790130921198116</c:v>
                </c:pt>
                <c:pt idx="393">
                  <c:v>3.5790130921198116</c:v>
                </c:pt>
                <c:pt idx="394">
                  <c:v>3.5790130921198116</c:v>
                </c:pt>
                <c:pt idx="395">
                  <c:v>3.5790130921198116</c:v>
                </c:pt>
                <c:pt idx="396">
                  <c:v>3.5790130921198116</c:v>
                </c:pt>
                <c:pt idx="397">
                  <c:v>3.5790130921198116</c:v>
                </c:pt>
                <c:pt idx="398">
                  <c:v>3.5790130921198116</c:v>
                </c:pt>
                <c:pt idx="399">
                  <c:v>3.5790130921198116</c:v>
                </c:pt>
                <c:pt idx="400">
                  <c:v>3.5790130921198116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329128"/>
        <c:axId val="240993400"/>
      </c:scatterChart>
      <c:valAx>
        <c:axId val="241329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93400"/>
        <c:crosses val="autoZero"/>
        <c:crossBetween val="midCat"/>
      </c:valAx>
      <c:valAx>
        <c:axId val="240993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329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Un-chilled Geeraerd_Tail'!$A$2:$A$19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'13126 Un-chilled Geeraerd_Tail'!$B$2:$B$19</c:f>
              <c:numCache>
                <c:formatCode>0.00</c:formatCode>
                <c:ptCount val="18"/>
                <c:pt idx="0">
                  <c:v>5.7403626894942441</c:v>
                </c:pt>
                <c:pt idx="1">
                  <c:v>4.3010299956639813</c:v>
                </c:pt>
                <c:pt idx="2">
                  <c:v>2.4771212547196626</c:v>
                </c:pt>
                <c:pt idx="3">
                  <c:v>3.7993405494535817</c:v>
                </c:pt>
                <c:pt idx="4">
                  <c:v>3.1658376246901283</c:v>
                </c:pt>
                <c:pt idx="5">
                  <c:v>3.5440680443502757</c:v>
                </c:pt>
                <c:pt idx="6">
                  <c:v>5.9190780923760737</c:v>
                </c:pt>
                <c:pt idx="7">
                  <c:v>4.1038037209559572</c:v>
                </c:pt>
                <c:pt idx="8">
                  <c:v>3.3222192947339191</c:v>
                </c:pt>
                <c:pt idx="9">
                  <c:v>2.6334684555795866</c:v>
                </c:pt>
                <c:pt idx="10">
                  <c:v>2.6020599913279625</c:v>
                </c:pt>
                <c:pt idx="11">
                  <c:v>2.4771212547196626</c:v>
                </c:pt>
                <c:pt idx="12">
                  <c:v>5.9030899869919438</c:v>
                </c:pt>
                <c:pt idx="13">
                  <c:v>3.3159703454569178</c:v>
                </c:pt>
                <c:pt idx="14">
                  <c:v>3.6989700043360187</c:v>
                </c:pt>
                <c:pt idx="15">
                  <c:v>2.8260748027008264</c:v>
                </c:pt>
                <c:pt idx="16">
                  <c:v>4.4232458739368079</c:v>
                </c:pt>
                <c:pt idx="17">
                  <c:v>3.6989700043360187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Un-chilled Geeraerd_Tail'!$A$23:$A$122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</c:numCache>
            </c:numRef>
          </c:xVal>
          <c:yVal>
            <c:numRef>
              <c:f>'13126 Un-chilled Geeraerd_Tail'!$C$23:$C$122</c:f>
              <c:numCache>
                <c:formatCode>0.000</c:formatCode>
                <c:ptCount val="100"/>
                <c:pt idx="0">
                  <c:v>5.8563823555410757</c:v>
                </c:pt>
                <c:pt idx="1">
                  <c:v>5.6924174042809632</c:v>
                </c:pt>
                <c:pt idx="2">
                  <c:v>5.5286637945775112</c:v>
                </c:pt>
                <c:pt idx="3">
                  <c:v>5.3652178072515539</c:v>
                </c:pt>
                <c:pt idx="4">
                  <c:v>5.2022189296270946</c:v>
                </c:pt>
                <c:pt idx="5">
                  <c:v>5.0398685148502489</c:v>
                </c:pt>
                <c:pt idx="6">
                  <c:v>4.8784556950390714</c:v>
                </c:pt>
                <c:pt idx="7">
                  <c:v>4.7183924866835047</c:v>
                </c:pt>
                <c:pt idx="8">
                  <c:v>4.5602595507574906</c:v>
                </c:pt>
                <c:pt idx="9">
                  <c:v>4.4048622324652449</c:v>
                </c:pt>
                <c:pt idx="10">
                  <c:v>4.2532920820861069</c:v>
                </c:pt>
                <c:pt idx="11">
                  <c:v>4.1069805878511954</c:v>
                </c:pt>
                <c:pt idx="12">
                  <c:v>3.9677188489672197</c:v>
                </c:pt>
                <c:pt idx="13">
                  <c:v>3.8376028786709697</c:v>
                </c:pt>
                <c:pt idx="14">
                  <c:v>3.7188607628649435</c:v>
                </c:pt>
                <c:pt idx="15">
                  <c:v>3.6135442893574168</c:v>
                </c:pt>
                <c:pt idx="16">
                  <c:v>3.5231350523935019</c:v>
                </c:pt>
                <c:pt idx="17">
                  <c:v>3.4481963833705622</c:v>
                </c:pt>
                <c:pt idx="18">
                  <c:v>3.3882272904556494</c:v>
                </c:pt>
                <c:pt idx="19">
                  <c:v>3.3417927246263512</c:v>
                </c:pt>
                <c:pt idx="20">
                  <c:v>3.3068636602760333</c:v>
                </c:pt>
                <c:pt idx="21">
                  <c:v>3.2812126266501798</c:v>
                </c:pt>
                <c:pt idx="22">
                  <c:v>3.2627294648491754</c:v>
                </c:pt>
                <c:pt idx="23">
                  <c:v>3.249602279111993</c:v>
                </c:pt>
                <c:pt idx="24">
                  <c:v>3.2403780591498119</c:v>
                </c:pt>
                <c:pt idx="25">
                  <c:v>3.2339462103341119</c:v>
                </c:pt>
                <c:pt idx="26">
                  <c:v>3.2294859739240214</c:v>
                </c:pt>
                <c:pt idx="27">
                  <c:v>3.2264048903072977</c:v>
                </c:pt>
                <c:pt idx="28">
                  <c:v>3.2242822335059822</c:v>
                </c:pt>
                <c:pt idx="29">
                  <c:v>3.222822595695098</c:v>
                </c:pt>
                <c:pt idx="30">
                  <c:v>3.2218201746158868</c:v>
                </c:pt>
                <c:pt idx="31">
                  <c:v>3.221132363316821</c:v>
                </c:pt>
                <c:pt idx="32">
                  <c:v>3.2206607098722206</c:v>
                </c:pt>
                <c:pt idx="33">
                  <c:v>3.2203374182558635</c:v>
                </c:pt>
                <c:pt idx="34">
                  <c:v>3.2201158840417059</c:v>
                </c:pt>
                <c:pt idx="35">
                  <c:v>3.2199641086317934</c:v>
                </c:pt>
                <c:pt idx="36">
                  <c:v>3.2198601397828224</c:v>
                </c:pt>
                <c:pt idx="37">
                  <c:v>3.2197889258818888</c:v>
                </c:pt>
                <c:pt idx="38">
                  <c:v>3.2197401507200545</c:v>
                </c:pt>
                <c:pt idx="39">
                  <c:v>3.2197067455445714</c:v>
                </c:pt>
                <c:pt idx="40">
                  <c:v>3.2196838676609048</c:v>
                </c:pt>
                <c:pt idx="41">
                  <c:v>3.2196681998230523</c:v>
                </c:pt>
                <c:pt idx="42">
                  <c:v>3.2196574699096874</c:v>
                </c:pt>
                <c:pt idx="43">
                  <c:v>3.2196501217395603</c:v>
                </c:pt>
                <c:pt idx="44">
                  <c:v>3.2196450895227864</c:v>
                </c:pt>
                <c:pt idx="45">
                  <c:v>3.2196416433461925</c:v>
                </c:pt>
                <c:pt idx="46">
                  <c:v>3.2196392833332772</c:v>
                </c:pt>
                <c:pt idx="47">
                  <c:v>3.2196376671510896</c:v>
                </c:pt>
                <c:pt idx="48">
                  <c:v>3.2196365603600725</c:v>
                </c:pt>
                <c:pt idx="49">
                  <c:v>3.2196358024101617</c:v>
                </c:pt>
                <c:pt idx="50">
                  <c:v>3.2196352833531132</c:v>
                </c:pt>
                <c:pt idx="51">
                  <c:v>3.2196349278941434</c:v>
                </c:pt>
                <c:pt idx="52">
                  <c:v>3.2196346844699573</c:v>
                </c:pt>
                <c:pt idx="53">
                  <c:v>3.2196345177690824</c:v>
                </c:pt>
                <c:pt idx="54">
                  <c:v>3.2196344036096063</c:v>
                </c:pt>
                <c:pt idx="55">
                  <c:v>3.2196343254313442</c:v>
                </c:pt>
                <c:pt idx="56">
                  <c:v>3.2196342718936051</c:v>
                </c:pt>
                <c:pt idx="57">
                  <c:v>3.2196342352300968</c:v>
                </c:pt>
                <c:pt idx="58">
                  <c:v>3.2196342101223352</c:v>
                </c:pt>
                <c:pt idx="59">
                  <c:v>3.2196341929281354</c:v>
                </c:pt>
                <c:pt idx="60">
                  <c:v>3.2196341811532707</c:v>
                </c:pt>
                <c:pt idx="61">
                  <c:v>3.2196341730896534</c:v>
                </c:pt>
                <c:pt idx="62">
                  <c:v>3.219634167567559</c:v>
                </c:pt>
                <c:pt idx="63">
                  <c:v>3.2196341637859396</c:v>
                </c:pt>
                <c:pt idx="64">
                  <c:v>3.2196341611962263</c:v>
                </c:pt>
                <c:pt idx="65">
                  <c:v>3.2196341594227484</c:v>
                </c:pt>
                <c:pt idx="66">
                  <c:v>3.2196341582082426</c:v>
                </c:pt>
                <c:pt idx="67">
                  <c:v>3.2196341573765292</c:v>
                </c:pt>
                <c:pt idx="68">
                  <c:v>3.2196341568069586</c:v>
                </c:pt>
                <c:pt idx="69">
                  <c:v>3.2196341564169075</c:v>
                </c:pt>
                <c:pt idx="70">
                  <c:v>3.2196341561497945</c:v>
                </c:pt>
                <c:pt idx="71">
                  <c:v>3.2196341559668711</c:v>
                </c:pt>
                <c:pt idx="72">
                  <c:v>3.219634155841602</c:v>
                </c:pt>
                <c:pt idx="73">
                  <c:v>3.2196341557558159</c:v>
                </c:pt>
                <c:pt idx="74">
                  <c:v>3.2196341556970682</c:v>
                </c:pt>
                <c:pt idx="75">
                  <c:v>3.2196341556568369</c:v>
                </c:pt>
                <c:pt idx="76">
                  <c:v>3.2196341556292856</c:v>
                </c:pt>
                <c:pt idx="77">
                  <c:v>3.219634155610418</c:v>
                </c:pt>
                <c:pt idx="78">
                  <c:v>3.2196341555974972</c:v>
                </c:pt>
                <c:pt idx="79">
                  <c:v>3.2196341555886492</c:v>
                </c:pt>
                <c:pt idx="80">
                  <c:v>3.2196341555825896</c:v>
                </c:pt>
                <c:pt idx="81">
                  <c:v>3.21963415557844</c:v>
                </c:pt>
                <c:pt idx="82">
                  <c:v>3.2196341555755983</c:v>
                </c:pt>
                <c:pt idx="83">
                  <c:v>3.2196341555736523</c:v>
                </c:pt>
                <c:pt idx="84">
                  <c:v>3.2196341555723196</c:v>
                </c:pt>
                <c:pt idx="85">
                  <c:v>3.219634155571407</c:v>
                </c:pt>
                <c:pt idx="86">
                  <c:v>3.2196341555707817</c:v>
                </c:pt>
                <c:pt idx="87">
                  <c:v>3.219634155570354</c:v>
                </c:pt>
                <c:pt idx="88">
                  <c:v>3.2196341555700609</c:v>
                </c:pt>
                <c:pt idx="89">
                  <c:v>3.2196341555698602</c:v>
                </c:pt>
                <c:pt idx="90">
                  <c:v>3.2196341555697225</c:v>
                </c:pt>
                <c:pt idx="91">
                  <c:v>3.2196341555696284</c:v>
                </c:pt>
                <c:pt idx="92">
                  <c:v>3.219634155569564</c:v>
                </c:pt>
                <c:pt idx="93">
                  <c:v>3.21963415556952</c:v>
                </c:pt>
                <c:pt idx="94">
                  <c:v>3.2196341555694898</c:v>
                </c:pt>
                <c:pt idx="95">
                  <c:v>3.219634155569469</c:v>
                </c:pt>
                <c:pt idx="96">
                  <c:v>3.2196341555694548</c:v>
                </c:pt>
                <c:pt idx="97">
                  <c:v>3.219634155569445</c:v>
                </c:pt>
                <c:pt idx="98">
                  <c:v>3.2196341555694383</c:v>
                </c:pt>
                <c:pt idx="99">
                  <c:v>3.2196341555694339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061312"/>
        <c:axId val="241546400"/>
      </c:scatterChart>
      <c:valAx>
        <c:axId val="241061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6400"/>
        <c:crosses val="autoZero"/>
        <c:crossBetween val="midCat"/>
      </c:valAx>
      <c:valAx>
        <c:axId val="24154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061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Pre-chilled_Geeraerd_Tail'!$A$2:$A$19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'13126 Pre-chilled_Geeraerd_Tail'!$B$2:$B$19</c:f>
              <c:numCache>
                <c:formatCode>0.00</c:formatCode>
                <c:ptCount val="18"/>
                <c:pt idx="0">
                  <c:v>5.540329474790874</c:v>
                </c:pt>
                <c:pt idx="1">
                  <c:v>4.0681858617461613</c:v>
                </c:pt>
                <c:pt idx="2">
                  <c:v>3.7781512503836434</c:v>
                </c:pt>
                <c:pt idx="3">
                  <c:v>3.0530784434834195</c:v>
                </c:pt>
                <c:pt idx="4">
                  <c:v>3.6989700043360187</c:v>
                </c:pt>
                <c:pt idx="5">
                  <c:v>4</c:v>
                </c:pt>
                <c:pt idx="6">
                  <c:v>5.826074802700826</c:v>
                </c:pt>
                <c:pt idx="7">
                  <c:v>3.7558748556724915</c:v>
                </c:pt>
                <c:pt idx="8">
                  <c:v>2.8450980400142569</c:v>
                </c:pt>
                <c:pt idx="9">
                  <c:v>3.3283796034387376</c:v>
                </c:pt>
                <c:pt idx="10">
                  <c:v>3.5440680443502757</c:v>
                </c:pt>
                <c:pt idx="11">
                  <c:v>3.8129133566428557</c:v>
                </c:pt>
                <c:pt idx="12">
                  <c:v>5.7993405494535821</c:v>
                </c:pt>
                <c:pt idx="13">
                  <c:v>4.426511261364575</c:v>
                </c:pt>
                <c:pt idx="14">
                  <c:v>4.195899652409234</c:v>
                </c:pt>
                <c:pt idx="15">
                  <c:v>3.0791812460476247</c:v>
                </c:pt>
                <c:pt idx="16">
                  <c:v>3.3710678622717363</c:v>
                </c:pt>
                <c:pt idx="17">
                  <c:v>3.5854607295085006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Pre-chilled_Geeraerd_Tail'!$A$23:$A$122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0.29149999999999998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</c:numCache>
            </c:numRef>
          </c:xVal>
          <c:yVal>
            <c:numRef>
              <c:f>'13126 Pre-chilled_Geeraerd_Tail'!$C$23:$C$122</c:f>
              <c:numCache>
                <c:formatCode>0.000</c:formatCode>
                <c:ptCount val="100"/>
                <c:pt idx="0">
                  <c:v>5.7187956362261625</c:v>
                </c:pt>
                <c:pt idx="1">
                  <c:v>5.5791408056322549</c:v>
                </c:pt>
                <c:pt idx="2">
                  <c:v>5.4398817107453006</c:v>
                </c:pt>
                <c:pt idx="3">
                  <c:v>5.3011660533978997</c:v>
                </c:pt>
                <c:pt idx="4">
                  <c:v>5.1631947517835934</c:v>
                </c:pt>
                <c:pt idx="5">
                  <c:v>5.026239435300063</c:v>
                </c:pt>
                <c:pt idx="6">
                  <c:v>4.8906642358211814</c:v>
                </c:pt>
                <c:pt idx="7">
                  <c:v>4.7189386714163071</c:v>
                </c:pt>
                <c:pt idx="8">
                  <c:v>4.6257310097931139</c:v>
                </c:pt>
                <c:pt idx="9">
                  <c:v>4.4978055057153696</c:v>
                </c:pt>
                <c:pt idx="10">
                  <c:v>4.374170692074494</c:v>
                </c:pt>
                <c:pt idx="11">
                  <c:v>4.25601237559259</c:v>
                </c:pt>
                <c:pt idx="12">
                  <c:v>4.1446687925834373</c:v>
                </c:pt>
                <c:pt idx="13">
                  <c:v>4.0415425782503025</c:v>
                </c:pt>
                <c:pt idx="14">
                  <c:v>3.9479579572760093</c:v>
                </c:pt>
                <c:pt idx="15">
                  <c:v>3.8649794408613607</c:v>
                </c:pt>
                <c:pt idx="16">
                  <c:v>3.793233987989642</c:v>
                </c:pt>
                <c:pt idx="17">
                  <c:v>3.7327930855314206</c:v>
                </c:pt>
                <c:pt idx="18">
                  <c:v>3.6831586878763019</c:v>
                </c:pt>
                <c:pt idx="19">
                  <c:v>3.6433585609552299</c:v>
                </c:pt>
                <c:pt idx="20">
                  <c:v>3.6121146896015937</c:v>
                </c:pt>
                <c:pt idx="21">
                  <c:v>3.5880285093681215</c:v>
                </c:pt>
                <c:pt idx="22">
                  <c:v>3.569735672299696</c:v>
                </c:pt>
                <c:pt idx="23">
                  <c:v>3.5560077265984962</c:v>
                </c:pt>
                <c:pt idx="24">
                  <c:v>3.545801129256652</c:v>
                </c:pt>
                <c:pt idx="25">
                  <c:v>3.5382665992773457</c:v>
                </c:pt>
                <c:pt idx="26">
                  <c:v>3.5327344731227996</c:v>
                </c:pt>
                <c:pt idx="27">
                  <c:v>3.5286888784083268</c:v>
                </c:pt>
                <c:pt idx="28">
                  <c:v>3.5257391581027457</c:v>
                </c:pt>
                <c:pt idx="29">
                  <c:v>3.5235931608523705</c:v>
                </c:pt>
                <c:pt idx="30">
                  <c:v>3.5220343916205503</c:v>
                </c:pt>
                <c:pt idx="31">
                  <c:v>3.52090348474393</c:v>
                </c:pt>
                <c:pt idx="32">
                  <c:v>3.5200836952979677</c:v>
                </c:pt>
                <c:pt idx="33">
                  <c:v>3.5194898008475399</c:v>
                </c:pt>
                <c:pt idx="34">
                  <c:v>3.5190597484945494</c:v>
                </c:pt>
                <c:pt idx="35">
                  <c:v>3.5187484391987125</c:v>
                </c:pt>
                <c:pt idx="36">
                  <c:v>3.5185231395733192</c:v>
                </c:pt>
                <c:pt idx="37">
                  <c:v>3.5183601143867205</c:v>
                </c:pt>
                <c:pt idx="38">
                  <c:v>3.5182421651143554</c:v>
                </c:pt>
                <c:pt idx="39">
                  <c:v>3.5181568360511961</c:v>
                </c:pt>
                <c:pt idx="40">
                  <c:v>3.5180951097040247</c:v>
                </c:pt>
                <c:pt idx="41">
                  <c:v>3.5180504594599511</c:v>
                </c:pt>
                <c:pt idx="42">
                  <c:v>3.5180181624451468</c:v>
                </c:pt>
                <c:pt idx="43">
                  <c:v>3.5179948015068003</c:v>
                </c:pt>
                <c:pt idx="44">
                  <c:v>3.5179779044725703</c:v>
                </c:pt>
                <c:pt idx="45">
                  <c:v>3.5179656829556101</c:v>
                </c:pt>
                <c:pt idx="46">
                  <c:v>3.5179568432924357</c:v>
                </c:pt>
                <c:pt idx="47">
                  <c:v>3.5179504497227181</c:v>
                </c:pt>
                <c:pt idx="48">
                  <c:v>3.5179458253909361</c:v>
                </c:pt>
                <c:pt idx="49">
                  <c:v>3.5179424807227293</c:v>
                </c:pt>
                <c:pt idx="50">
                  <c:v>3.5179400616106196</c:v>
                </c:pt>
                <c:pt idx="51">
                  <c:v>3.5179383119325376</c:v>
                </c:pt>
                <c:pt idx="52">
                  <c:v>3.5179370464395858</c:v>
                </c:pt>
                <c:pt idx="53">
                  <c:v>3.5179361311450013</c:v>
                </c:pt>
                <c:pt idx="54">
                  <c:v>3.5179354691392644</c:v>
                </c:pt>
                <c:pt idx="55">
                  <c:v>3.5179349903301653</c:v>
                </c:pt>
                <c:pt idx="56">
                  <c:v>3.5179346440218824</c:v>
                </c:pt>
                <c:pt idx="57">
                  <c:v>3.5179343935475376</c:v>
                </c:pt>
                <c:pt idx="58">
                  <c:v>3.5179342123870265</c:v>
                </c:pt>
                <c:pt idx="59">
                  <c:v>3.5179340813591313</c:v>
                </c:pt>
                <c:pt idx="60">
                  <c:v>3.517933986590644</c:v>
                </c:pt>
                <c:pt idx="61">
                  <c:v>3.5179339180474871</c:v>
                </c:pt>
                <c:pt idx="62">
                  <c:v>3.5179338684723147</c:v>
                </c:pt>
                <c:pt idx="63">
                  <c:v>3.5179338326161078</c:v>
                </c:pt>
                <c:pt idx="64">
                  <c:v>3.51793380668241</c:v>
                </c:pt>
                <c:pt idx="65">
                  <c:v>3.5179337879253594</c:v>
                </c:pt>
                <c:pt idx="66">
                  <c:v>3.5179337743589589</c:v>
                </c:pt>
                <c:pt idx="67">
                  <c:v>3.5179337645467967</c:v>
                </c:pt>
                <c:pt idx="68">
                  <c:v>3.5179337574499607</c:v>
                </c:pt>
                <c:pt idx="69">
                  <c:v>3.517933752317036</c:v>
                </c:pt>
                <c:pt idx="70">
                  <c:v>3.5179337486045492</c:v>
                </c:pt>
                <c:pt idx="71">
                  <c:v>3.5179337459194207</c:v>
                </c:pt>
                <c:pt idx="72">
                  <c:v>3.5179337439773497</c:v>
                </c:pt>
                <c:pt idx="73">
                  <c:v>3.5179337425727093</c:v>
                </c:pt>
                <c:pt idx="74">
                  <c:v>3.5179337415567762</c:v>
                </c:pt>
                <c:pt idx="75">
                  <c:v>3.5179337408219826</c:v>
                </c:pt>
                <c:pt idx="76">
                  <c:v>3.5179337402905286</c:v>
                </c:pt>
                <c:pt idx="77">
                  <c:v>3.5179337399061446</c:v>
                </c:pt>
                <c:pt idx="78">
                  <c:v>3.5179337396281314</c:v>
                </c:pt>
                <c:pt idx="79">
                  <c:v>3.5179337394270531</c:v>
                </c:pt>
                <c:pt idx="80">
                  <c:v>3.5179337392816188</c:v>
                </c:pt>
                <c:pt idx="81">
                  <c:v>3.5179337391764309</c:v>
                </c:pt>
                <c:pt idx="82">
                  <c:v>3.5179337391003518</c:v>
                </c:pt>
                <c:pt idx="83">
                  <c:v>3.517933739045326</c:v>
                </c:pt>
                <c:pt idx="84">
                  <c:v>3.5179337390055276</c:v>
                </c:pt>
                <c:pt idx="85">
                  <c:v>3.5179337389767427</c:v>
                </c:pt>
                <c:pt idx="86">
                  <c:v>3.5179337389559233</c:v>
                </c:pt>
                <c:pt idx="87">
                  <c:v>3.5179337389408656</c:v>
                </c:pt>
                <c:pt idx="88">
                  <c:v>3.5179337389299747</c:v>
                </c:pt>
                <c:pt idx="89">
                  <c:v>3.5179337389220975</c:v>
                </c:pt>
                <c:pt idx="90">
                  <c:v>3.5179337389164003</c:v>
                </c:pt>
                <c:pt idx="91">
                  <c:v>3.5179337389122796</c:v>
                </c:pt>
                <c:pt idx="92">
                  <c:v>3.5179337389092993</c:v>
                </c:pt>
                <c:pt idx="93">
                  <c:v>3.5179337389071437</c:v>
                </c:pt>
                <c:pt idx="94">
                  <c:v>3.5179337389055845</c:v>
                </c:pt>
                <c:pt idx="95">
                  <c:v>3.5179337389044569</c:v>
                </c:pt>
                <c:pt idx="96">
                  <c:v>3.5179337389036411</c:v>
                </c:pt>
                <c:pt idx="97">
                  <c:v>3.5179337389030514</c:v>
                </c:pt>
                <c:pt idx="98">
                  <c:v>3.5179337389026246</c:v>
                </c:pt>
                <c:pt idx="99">
                  <c:v>3.5179337389023164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547968"/>
        <c:axId val="241548360"/>
      </c:scatterChart>
      <c:valAx>
        <c:axId val="241547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8360"/>
        <c:crosses val="autoZero"/>
        <c:crossBetween val="midCat"/>
      </c:valAx>
      <c:valAx>
        <c:axId val="241548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7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Un-chilled Biphasic'!$A$2:$A$19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'13136 Un-chilled Biphasic'!$B$2:$B$19</c:f>
              <c:numCache>
                <c:formatCode>0.00</c:formatCode>
                <c:ptCount val="18"/>
                <c:pt idx="0">
                  <c:v>5.3010299956639813</c:v>
                </c:pt>
                <c:pt idx="1">
                  <c:v>3.7993405494535817</c:v>
                </c:pt>
                <c:pt idx="2">
                  <c:v>3.3010299956639813</c:v>
                </c:pt>
                <c:pt idx="3">
                  <c:v>3.3560258571931225</c:v>
                </c:pt>
                <c:pt idx="4">
                  <c:v>3.6532125137753435</c:v>
                </c:pt>
                <c:pt idx="5">
                  <c:v>3.6532125137753435</c:v>
                </c:pt>
                <c:pt idx="6">
                  <c:v>5.6020599913279625</c:v>
                </c:pt>
                <c:pt idx="7">
                  <c:v>3.6989700043360187</c:v>
                </c:pt>
                <c:pt idx="8">
                  <c:v>4.0293837776852097</c:v>
                </c:pt>
                <c:pt idx="9">
                  <c:v>3.6720978579357175</c:v>
                </c:pt>
                <c:pt idx="10">
                  <c:v>3.5250448070368452</c:v>
                </c:pt>
                <c:pt idx="11">
                  <c:v>2.7888751157754168</c:v>
                </c:pt>
                <c:pt idx="12">
                  <c:v>5.4313637641589869</c:v>
                </c:pt>
                <c:pt idx="13">
                  <c:v>3.8260748027008264</c:v>
                </c:pt>
                <c:pt idx="14">
                  <c:v>3.568201724066995</c:v>
                </c:pt>
                <c:pt idx="15">
                  <c:v>3.3010299956639813</c:v>
                </c:pt>
                <c:pt idx="16">
                  <c:v>2.9111576087399764</c:v>
                </c:pt>
                <c:pt idx="17">
                  <c:v>2.7781512503836434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Un-chilled Biphasic'!$A$23:$A$423</c:f>
              <c:numCache>
                <c:formatCode>0.000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'13136 Un-chilled Biphasic'!$C$23:$C$423</c:f>
              <c:numCache>
                <c:formatCode>0.000</c:formatCode>
                <c:ptCount val="401"/>
                <c:pt idx="0">
                  <c:v>5.4448205870282811</c:v>
                </c:pt>
                <c:pt idx="1">
                  <c:v>5.3927824651613889</c:v>
                </c:pt>
                <c:pt idx="2">
                  <c:v>5.3409024206483267</c:v>
                </c:pt>
                <c:pt idx="3">
                  <c:v>5.2891991972435948</c:v>
                </c:pt>
                <c:pt idx="4">
                  <c:v>5.2376935997506493</c:v>
                </c:pt>
                <c:pt idx="5">
                  <c:v>5.1864086793686619</c:v>
                </c:pt>
                <c:pt idx="6">
                  <c:v>5.1353699250153575</c:v>
                </c:pt>
                <c:pt idx="7">
                  <c:v>5.0846054577102313</c:v>
                </c:pt>
                <c:pt idx="8">
                  <c:v>5.034146224114707</c:v>
                </c:pt>
                <c:pt idx="9">
                  <c:v>4.9840261841701317</c:v>
                </c:pt>
                <c:pt idx="10">
                  <c:v>4.934282486453939</c:v>
                </c:pt>
                <c:pt idx="11">
                  <c:v>4.8849556234065803</c:v>
                </c:pt>
                <c:pt idx="12">
                  <c:v>4.8360895570046054</c:v>
                </c:pt>
                <c:pt idx="13">
                  <c:v>4.7877318038326857</c:v>
                </c:pt>
                <c:pt idx="14">
                  <c:v>4.7399334669363551</c:v>
                </c:pt>
                <c:pt idx="15">
                  <c:v>4.6927492004528037</c:v>
                </c:pt>
                <c:pt idx="16">
                  <c:v>4.6462370919959346</c:v>
                </c:pt>
                <c:pt idx="17">
                  <c:v>4.6004584473312029</c:v>
                </c:pt>
                <c:pt idx="18">
                  <c:v>4.5554774622658698</c:v>
                </c:pt>
                <c:pt idx="19">
                  <c:v>4.511360768168271</c:v>
                </c:pt>
                <c:pt idx="20">
                  <c:v>4.4681768403721209</c:v>
                </c:pt>
                <c:pt idx="21">
                  <c:v>4.4259952631254968</c:v>
                </c:pt>
                <c:pt idx="22">
                  <c:v>4.3848858508167883</c:v>
                </c:pt>
                <c:pt idx="23">
                  <c:v>4.3449176329046608</c:v>
                </c:pt>
                <c:pt idx="24">
                  <c:v>4.3061577190420035</c:v>
                </c:pt>
                <c:pt idx="25">
                  <c:v>4.268670070815995</c:v>
                </c:pt>
                <c:pt idx="26">
                  <c:v>4.2325142165752947</c:v>
                </c:pt>
                <c:pt idx="27">
                  <c:v>4.197743955009873</c:v>
                </c:pt>
                <c:pt idx="28">
                  <c:v>4.1644061003852544</c:v>
                </c:pt>
                <c:pt idx="29">
                  <c:v>4.1325393265118429</c:v>
                </c:pt>
                <c:pt idx="30">
                  <c:v>4.1021731667289032</c:v>
                </c:pt>
                <c:pt idx="31">
                  <c:v>4.0733272228357649</c:v>
                </c:pt>
                <c:pt idx="32">
                  <c:v>4.0460106269487603</c:v>
                </c:pt>
                <c:pt idx="33">
                  <c:v>4.0202217872232966</c:v>
                </c:pt>
                <c:pt idx="34">
                  <c:v>3.9959484323408812</c:v>
                </c:pt>
                <c:pt idx="35">
                  <c:v>3.9731679521414924</c:v>
                </c:pt>
                <c:pt idx="36">
                  <c:v>3.9518480145239305</c:v>
                </c:pt>
                <c:pt idx="37">
                  <c:v>3.9319474234432681</c:v>
                </c:pt>
                <c:pt idx="38">
                  <c:v>3.9134171709155123</c:v>
                </c:pt>
                <c:pt idx="39">
                  <c:v>3.8962016283218528</c:v>
                </c:pt>
                <c:pt idx="40">
                  <c:v>3.8802398193350114</c:v>
                </c:pt>
                <c:pt idx="41">
                  <c:v>3.8654667182456759</c:v>
                </c:pt>
                <c:pt idx="42">
                  <c:v>3.8518145226586089</c:v>
                </c:pt>
                <c:pt idx="43">
                  <c:v>3.8392138574618575</c:v>
                </c:pt>
                <c:pt idx="44">
                  <c:v>3.8275948765311618</c:v>
                </c:pt>
                <c:pt idx="45">
                  <c:v>3.8168882387385308</c:v>
                </c:pt>
                <c:pt idx="46">
                  <c:v>3.8070259445760035</c:v>
                </c:pt>
                <c:pt idx="47">
                  <c:v>3.7979420284040035</c:v>
                </c:pt>
                <c:pt idx="48">
                  <c:v>3.7895731085644364</c:v>
                </c:pt>
                <c:pt idx="49">
                  <c:v>3.7818588031740896</c:v>
                </c:pt>
                <c:pt idx="50">
                  <c:v>3.7747420233386029</c:v>
                </c:pt>
                <c:pt idx="51">
                  <c:v>3.7681691579440519</c:v>
                </c:pt>
                <c:pt idx="52">
                  <c:v>3.7620901653182983</c:v>
                </c:pt>
                <c:pt idx="53">
                  <c:v>3.7564585871709166</c:v>
                </c:pt>
                <c:pt idx="54">
                  <c:v>3.7512314995831697</c:v>
                </c:pt>
                <c:pt idx="55">
                  <c:v>3.7463694146699247</c:v>
                </c:pt>
                <c:pt idx="56">
                  <c:v>3.741836145079243</c:v>
                </c:pt>
                <c:pt idx="57">
                  <c:v>3.737598641896799</c:v>
                </c:pt>
                <c:pt idx="58">
                  <c:v>3.7336268149046337</c:v>
                </c:pt>
                <c:pt idx="59">
                  <c:v>3.7298933425935878</c:v>
                </c:pt>
                <c:pt idx="60">
                  <c:v>3.7263734779016549</c:v>
                </c:pt>
                <c:pt idx="61">
                  <c:v>3.7230448543776871</c:v>
                </c:pt>
                <c:pt idx="62">
                  <c:v>3.7198872963641261</c:v>
                </c:pt>
                <c:pt idx="63">
                  <c:v>3.7168826358534788</c:v>
                </c:pt>
                <c:pt idx="64">
                  <c:v>3.7140145378923646</c:v>
                </c:pt>
                <c:pt idx="65">
                  <c:v>3.7112683357700944</c:v>
                </c:pt>
                <c:pt idx="66">
                  <c:v>3.7086308767193605</c:v>
                </c:pt>
                <c:pt idx="67">
                  <c:v>3.7060903784574135</c:v>
                </c:pt>
                <c:pt idx="68">
                  <c:v>3.7036362965901217</c:v>
                </c:pt>
                <c:pt idx="69">
                  <c:v>3.7012592026728997</c:v>
                </c:pt>
                <c:pt idx="70">
                  <c:v>3.6989506725574381</c:v>
                </c:pt>
                <c:pt idx="71">
                  <c:v>3.6967031845392033</c:v>
                </c:pt>
                <c:pt idx="72">
                  <c:v>3.6945100267471309</c:v>
                </c:pt>
                <c:pt idx="73">
                  <c:v>3.6923652131748907</c:v>
                </c:pt>
                <c:pt idx="74">
                  <c:v>3.6902634077352356</c:v>
                </c:pt>
                <c:pt idx="75">
                  <c:v>3.6881998557190947</c:v>
                </c:pt>
                <c:pt idx="76">
                  <c:v>3.6861703220545001</c:v>
                </c:pt>
                <c:pt idx="77">
                  <c:v>3.6841710357831245</c:v>
                </c:pt>
                <c:pt idx="78">
                  <c:v>3.6821986402012268</c:v>
                </c:pt>
                <c:pt idx="79">
                  <c:v>3.6802501481447085</c:v>
                </c:pt>
                <c:pt idx="80">
                  <c:v>3.6783229019329839</c:v>
                </c:pt>
                <c:pt idx="81">
                  <c:v>3.6764145375221435</c:v>
                </c:pt>
                <c:pt idx="82">
                  <c:v>3.6745229524533851</c:v>
                </c:pt>
                <c:pt idx="83">
                  <c:v>3.6726462772172312</c:v>
                </c:pt>
                <c:pt idx="84">
                  <c:v>3.6707828496871455</c:v>
                </c:pt>
                <c:pt idx="85">
                  <c:v>3.6689311923074523</c:v>
                </c:pt>
                <c:pt idx="86">
                  <c:v>3.6670899917498243</c:v>
                </c:pt>
                <c:pt idx="87">
                  <c:v>3.665258080779858</c:v>
                </c:pt>
                <c:pt idx="88">
                  <c:v>3.6634344221004818</c:v>
                </c:pt>
                <c:pt idx="89">
                  <c:v>3.6616180939620744</c:v>
                </c:pt>
                <c:pt idx="90">
                  <c:v>3.6598082773503653</c:v>
                </c:pt>
                <c:pt idx="91">
                  <c:v>3.6580042445824756</c:v>
                </c:pt>
                <c:pt idx="92">
                  <c:v>3.6562053491589785</c:v>
                </c:pt>
                <c:pt idx="93">
                  <c:v>3.6544110167357378</c:v>
                </c:pt>
                <c:pt idx="94">
                  <c:v>3.652620737093601</c:v>
                </c:pt>
                <c:pt idx="95">
                  <c:v>3.6508340569969686</c:v>
                </c:pt>
                <c:pt idx="96">
                  <c:v>3.6490505738438594</c:v>
                </c:pt>
                <c:pt idx="97">
                  <c:v>3.6472699300205713</c:v>
                </c:pt>
                <c:pt idx="98">
                  <c:v>3.6454918078833849</c:v>
                </c:pt>
                <c:pt idx="99">
                  <c:v>3.6437159252981672</c:v>
                </c:pt>
                <c:pt idx="100">
                  <c:v>3.6419420316762494</c:v>
                </c:pt>
                <c:pt idx="101">
                  <c:v>3.6401699044516755</c:v>
                </c:pt>
                <c:pt idx="102">
                  <c:v>3.6383993459509196</c:v>
                </c:pt>
                <c:pt idx="103">
                  <c:v>3.6366301806115535</c:v>
                </c:pt>
                <c:pt idx="104">
                  <c:v>3.6348622525111081</c:v>
                </c:pt>
                <c:pt idx="105">
                  <c:v>3.633095423171655</c:v>
                </c:pt>
                <c:pt idx="106">
                  <c:v>3.6313295696094512</c:v>
                </c:pt>
                <c:pt idx="107">
                  <c:v>3.6295645826023506</c:v>
                </c:pt>
                <c:pt idx="108">
                  <c:v>3.6278003651507404</c:v>
                </c:pt>
                <c:pt idx="109">
                  <c:v>3.6260368311104276</c:v>
                </c:pt>
                <c:pt idx="110">
                  <c:v>3.6242739039783003</c:v>
                </c:pt>
                <c:pt idx="111">
                  <c:v>3.6225115158137218</c:v>
                </c:pt>
                <c:pt idx="112">
                  <c:v>3.6207496062805125</c:v>
                </c:pt>
                <c:pt idx="113">
                  <c:v>3.6189881217960487</c:v>
                </c:pt>
                <c:pt idx="114">
                  <c:v>3.6172270147755228</c:v>
                </c:pt>
                <c:pt idx="115">
                  <c:v>3.6154662429607289</c:v>
                </c:pt>
                <c:pt idx="116">
                  <c:v>3.6137057688239302</c:v>
                </c:pt>
                <c:pt idx="117">
                  <c:v>3.6119455590384204</c:v>
                </c:pt>
                <c:pt idx="118">
                  <c:v>3.6101855840083168</c:v>
                </c:pt>
                <c:pt idx="119">
                  <c:v>3.6084258174509642</c:v>
                </c:pt>
                <c:pt idx="120">
                  <c:v>3.6066662360260748</c:v>
                </c:pt>
                <c:pt idx="121">
                  <c:v>3.6049068190063616</c:v>
                </c:pt>
                <c:pt idx="122">
                  <c:v>3.6031475479850368</c:v>
                </c:pt>
                <c:pt idx="123">
                  <c:v>3.6013884066160493</c:v>
                </c:pt>
                <c:pt idx="124">
                  <c:v>3.599629380383389</c:v>
                </c:pt>
                <c:pt idx="125">
                  <c:v>3.5978704563962207</c:v>
                </c:pt>
                <c:pt idx="126">
                  <c:v>3.5961116232069417</c:v>
                </c:pt>
                <c:pt idx="127">
                  <c:v>3.5943528706496126</c:v>
                </c:pt>
                <c:pt idx="128">
                  <c:v>3.5925941896964684</c:v>
                </c:pt>
                <c:pt idx="129">
                  <c:v>3.5908355723304952</c:v>
                </c:pt>
                <c:pt idx="130">
                  <c:v>3.5890770114322716</c:v>
                </c:pt>
                <c:pt idx="131">
                  <c:v>3.5873185006794754</c:v>
                </c:pt>
                <c:pt idx="132">
                  <c:v>3.585560034457643</c:v>
                </c:pt>
                <c:pt idx="133">
                  <c:v>3.5838016077809192</c:v>
                </c:pt>
                <c:pt idx="134">
                  <c:v>3.5820432162216758</c:v>
                </c:pt>
                <c:pt idx="135">
                  <c:v>3.5802848558480163</c:v>
                </c:pt>
                <c:pt idx="136">
                  <c:v>3.5785265231682706</c:v>
                </c:pt>
                <c:pt idx="137">
                  <c:v>3.5767682150817071</c:v>
                </c:pt>
                <c:pt idx="138">
                  <c:v>3.5750099288347643</c:v>
                </c:pt>
                <c:pt idx="139">
                  <c:v>3.5732516619821788</c:v>
                </c:pt>
                <c:pt idx="140">
                  <c:v>3.5714934123524689</c:v>
                </c:pt>
                <c:pt idx="141">
                  <c:v>3.569735178017281</c:v>
                </c:pt>
                <c:pt idx="142">
                  <c:v>3.5679769572641673</c:v>
                </c:pt>
                <c:pt idx="143">
                  <c:v>3.5662187485724131</c:v>
                </c:pt>
                <c:pt idx="144">
                  <c:v>3.564460550591571</c:v>
                </c:pt>
                <c:pt idx="145">
                  <c:v>3.5627023621223941</c:v>
                </c:pt>
                <c:pt idx="146">
                  <c:v>3.5609441820999095</c:v>
                </c:pt>
                <c:pt idx="147">
                  <c:v>3.5591860095783838</c:v>
                </c:pt>
                <c:pt idx="148">
                  <c:v>3.5574278437179716</c:v>
                </c:pt>
                <c:pt idx="149">
                  <c:v>3.5556696837728614</c:v>
                </c:pt>
                <c:pt idx="150">
                  <c:v>3.5539115290807457</c:v>
                </c:pt>
                <c:pt idx="151">
                  <c:v>3.5521533790534736</c:v>
                </c:pt>
                <c:pt idx="152">
                  <c:v>3.5503952331687438</c:v>
                </c:pt>
                <c:pt idx="153">
                  <c:v>3.5486370909627376</c:v>
                </c:pt>
                <c:pt idx="154">
                  <c:v>3.5468789520235653</c:v>
                </c:pt>
                <c:pt idx="155">
                  <c:v>3.5451208159854559</c:v>
                </c:pt>
                <c:pt idx="156">
                  <c:v>3.5433626825235915</c:v>
                </c:pt>
                <c:pt idx="157">
                  <c:v>3.5416045513495216</c:v>
                </c:pt>
                <c:pt idx="158">
                  <c:v>3.5398464222070936</c:v>
                </c:pt>
                <c:pt idx="159">
                  <c:v>3.5380882948688344</c:v>
                </c:pt>
                <c:pt idx="160">
                  <c:v>3.5363301691327393</c:v>
                </c:pt>
                <c:pt idx="161">
                  <c:v>3.5345720448194218</c:v>
                </c:pt>
                <c:pt idx="162">
                  <c:v>3.5328139217695806</c:v>
                </c:pt>
                <c:pt idx="163">
                  <c:v>3.5310557998417504</c:v>
                </c:pt>
                <c:pt idx="164">
                  <c:v>3.5292976789103054</c:v>
                </c:pt>
                <c:pt idx="165">
                  <c:v>3.5275395588636842</c:v>
                </c:pt>
                <c:pt idx="166">
                  <c:v>3.5257814396028175</c:v>
                </c:pt>
                <c:pt idx="167">
                  <c:v>3.5240233210397283</c:v>
                </c:pt>
                <c:pt idx="168">
                  <c:v>3.52226520309629</c:v>
                </c:pt>
                <c:pt idx="169">
                  <c:v>3.5205070857031222</c:v>
                </c:pt>
                <c:pt idx="170">
                  <c:v>3.5187489687986155</c:v>
                </c:pt>
                <c:pt idx="171">
                  <c:v>3.5169908523280555</c:v>
                </c:pt>
                <c:pt idx="172">
                  <c:v>3.5152327362428557</c:v>
                </c:pt>
                <c:pt idx="173">
                  <c:v>3.5134746204998692</c:v>
                </c:pt>
                <c:pt idx="174">
                  <c:v>3.5117165050607797</c:v>
                </c:pt>
                <c:pt idx="175">
                  <c:v>3.5099583898915618</c:v>
                </c:pt>
                <c:pt idx="176">
                  <c:v>3.5082002749619989</c:v>
                </c:pt>
                <c:pt idx="177">
                  <c:v>3.5064421602452578</c:v>
                </c:pt>
                <c:pt idx="178">
                  <c:v>3.5046840457175108</c:v>
                </c:pt>
                <c:pt idx="179">
                  <c:v>3.5029259313575958</c:v>
                </c:pt>
                <c:pt idx="180">
                  <c:v>3.5011678171467224</c:v>
                </c:pt>
                <c:pt idx="181">
                  <c:v>3.4994097030682028</c:v>
                </c:pt>
                <c:pt idx="182">
                  <c:v>3.4976515891072175</c:v>
                </c:pt>
                <c:pt idx="183">
                  <c:v>3.4958934752506075</c:v>
                </c:pt>
                <c:pt idx="184">
                  <c:v>3.4941353614866859</c:v>
                </c:pt>
                <c:pt idx="185">
                  <c:v>3.4923772478050754</c:v>
                </c:pt>
                <c:pt idx="186">
                  <c:v>3.4906191341965593</c:v>
                </c:pt>
                <c:pt idx="187">
                  <c:v>3.4888610206529544</c:v>
                </c:pt>
                <c:pt idx="188">
                  <c:v>3.4871029071669923</c:v>
                </c:pt>
                <c:pt idx="189">
                  <c:v>3.4853447937322191</c:v>
                </c:pt>
                <c:pt idx="190">
                  <c:v>3.4835866803429032</c:v>
                </c:pt>
                <c:pt idx="191">
                  <c:v>3.481828566993955</c:v>
                </c:pt>
                <c:pt idx="192">
                  <c:v>3.4800704536808555</c:v>
                </c:pt>
                <c:pt idx="193">
                  <c:v>3.4783123403995901</c:v>
                </c:pt>
                <c:pt idx="194">
                  <c:v>3.476554227146595</c:v>
                </c:pt>
                <c:pt idx="195">
                  <c:v>3.4747961139187042</c:v>
                </c:pt>
                <c:pt idx="196">
                  <c:v>3.4730380007131076</c:v>
                </c:pt>
                <c:pt idx="197">
                  <c:v>3.4712798875273085</c:v>
                </c:pt>
                <c:pt idx="198">
                  <c:v>3.4695217743590905</c:v>
                </c:pt>
                <c:pt idx="199">
                  <c:v>3.4677636612064853</c:v>
                </c:pt>
                <c:pt idx="200">
                  <c:v>3.4660055480677445</c:v>
                </c:pt>
                <c:pt idx="201">
                  <c:v>3.4642474349413162</c:v>
                </c:pt>
                <c:pt idx="202">
                  <c:v>3.4624893218258208</c:v>
                </c:pt>
                <c:pt idx="203">
                  <c:v>3.4607312087200359</c:v>
                </c:pt>
                <c:pt idx="204">
                  <c:v>3.4589730956228726</c:v>
                </c:pt>
                <c:pt idx="205">
                  <c:v>3.4572149825333662</c:v>
                </c:pt>
                <c:pt idx="206">
                  <c:v>3.4554568694506598</c:v>
                </c:pt>
                <c:pt idx="207">
                  <c:v>3.453698756373992</c:v>
                </c:pt>
                <c:pt idx="208">
                  <c:v>3.4519406433026862</c:v>
                </c:pt>
                <c:pt idx="209">
                  <c:v>3.450182530236142</c:v>
                </c:pt>
                <c:pt idx="210">
                  <c:v>3.4484244171738263</c:v>
                </c:pt>
                <c:pt idx="211">
                  <c:v>3.4466663041152663</c:v>
                </c:pt>
                <c:pt idx="212">
                  <c:v>3.444908191060041</c:v>
                </c:pt>
                <c:pt idx="213">
                  <c:v>3.4431500780077768</c:v>
                </c:pt>
                <c:pt idx="214">
                  <c:v>3.4413919649581426</c:v>
                </c:pt>
                <c:pt idx="215">
                  <c:v>3.4396338519108438</c:v>
                </c:pt>
                <c:pt idx="216">
                  <c:v>3.4378757388656189</c:v>
                </c:pt>
                <c:pt idx="217">
                  <c:v>3.4361176258222357</c:v>
                </c:pt>
                <c:pt idx="218">
                  <c:v>3.434359512780488</c:v>
                </c:pt>
                <c:pt idx="219">
                  <c:v>3.4326013997401925</c:v>
                </c:pt>
                <c:pt idx="220">
                  <c:v>3.4308432867011867</c:v>
                </c:pt>
                <c:pt idx="221">
                  <c:v>3.4290851736633265</c:v>
                </c:pt>
                <c:pt idx="222">
                  <c:v>3.4273270606264834</c:v>
                </c:pt>
                <c:pt idx="223">
                  <c:v>3.4255689475905431</c:v>
                </c:pt>
                <c:pt idx="224">
                  <c:v>3.4238108345554052</c:v>
                </c:pt>
                <c:pt idx="225">
                  <c:v>3.4220527215209797</c:v>
                </c:pt>
                <c:pt idx="226">
                  <c:v>3.4202946084871866</c:v>
                </c:pt>
                <c:pt idx="227">
                  <c:v>3.4185364954539552</c:v>
                </c:pt>
                <c:pt idx="228">
                  <c:v>3.4167783824212226</c:v>
                </c:pt>
                <c:pt idx="229">
                  <c:v>3.4150202693889331</c:v>
                </c:pt>
                <c:pt idx="230">
                  <c:v>3.4132621563570367</c:v>
                </c:pt>
                <c:pt idx="231">
                  <c:v>3.4115040433254897</c:v>
                </c:pt>
                <c:pt idx="232">
                  <c:v>3.4097459302942532</c:v>
                </c:pt>
                <c:pt idx="233">
                  <c:v>3.407987817263292</c:v>
                </c:pt>
                <c:pt idx="234">
                  <c:v>3.4062297042325755</c:v>
                </c:pt>
                <c:pt idx="235">
                  <c:v>3.4044715912020762</c:v>
                </c:pt>
                <c:pt idx="236">
                  <c:v>3.4027134781717701</c:v>
                </c:pt>
                <c:pt idx="237">
                  <c:v>3.4009553651416349</c:v>
                </c:pt>
                <c:pt idx="238">
                  <c:v>3.399197252111652</c:v>
                </c:pt>
                <c:pt idx="239">
                  <c:v>3.3974391390818042</c:v>
                </c:pt>
                <c:pt idx="240">
                  <c:v>3.3956810260520762</c:v>
                </c:pt>
                <c:pt idx="241">
                  <c:v>3.3939229130224549</c:v>
                </c:pt>
                <c:pt idx="242">
                  <c:v>3.3921647999929281</c:v>
                </c:pt>
                <c:pt idx="243">
                  <c:v>3.3904066869634857</c:v>
                </c:pt>
                <c:pt idx="244">
                  <c:v>3.3886485739341174</c:v>
                </c:pt>
                <c:pt idx="245">
                  <c:v>3.3868904609048158</c:v>
                </c:pt>
                <c:pt idx="246">
                  <c:v>3.3851323478755728</c:v>
                </c:pt>
                <c:pt idx="247">
                  <c:v>3.3833742348463822</c:v>
                </c:pt>
                <c:pt idx="248">
                  <c:v>3.3816161218172378</c:v>
                </c:pt>
                <c:pt idx="249">
                  <c:v>3.3798580087881347</c:v>
                </c:pt>
                <c:pt idx="250">
                  <c:v>3.3780998957590684</c:v>
                </c:pt>
                <c:pt idx="251">
                  <c:v>3.3763417827300342</c:v>
                </c:pt>
                <c:pt idx="252">
                  <c:v>3.3745836697010292</c:v>
                </c:pt>
                <c:pt idx="253">
                  <c:v>3.3728255566720495</c:v>
                </c:pt>
                <c:pt idx="254">
                  <c:v>3.371067443643093</c:v>
                </c:pt>
                <c:pt idx="255">
                  <c:v>3.3693093306141564</c:v>
                </c:pt>
                <c:pt idx="256">
                  <c:v>3.367551217585238</c:v>
                </c:pt>
                <c:pt idx="257">
                  <c:v>3.3657931045563352</c:v>
                </c:pt>
                <c:pt idx="258">
                  <c:v>3.3640349915274466</c:v>
                </c:pt>
                <c:pt idx="259">
                  <c:v>3.3622768784985708</c:v>
                </c:pt>
                <c:pt idx="260">
                  <c:v>3.3605187654697062</c:v>
                </c:pt>
                <c:pt idx="261">
                  <c:v>3.3587606524408513</c:v>
                </c:pt>
                <c:pt idx="262">
                  <c:v>3.3570025394120053</c:v>
                </c:pt>
                <c:pt idx="263">
                  <c:v>3.3552444263831669</c:v>
                </c:pt>
                <c:pt idx="264">
                  <c:v>3.3534863133543356</c:v>
                </c:pt>
                <c:pt idx="265">
                  <c:v>3.3517282003255104</c:v>
                </c:pt>
                <c:pt idx="266">
                  <c:v>3.3499700872966911</c:v>
                </c:pt>
                <c:pt idx="267">
                  <c:v>3.3482119742678762</c:v>
                </c:pt>
                <c:pt idx="268">
                  <c:v>3.3464538612390657</c:v>
                </c:pt>
                <c:pt idx="269">
                  <c:v>3.3446957482102588</c:v>
                </c:pt>
                <c:pt idx="270">
                  <c:v>3.3429376351814555</c:v>
                </c:pt>
                <c:pt idx="271">
                  <c:v>3.3411795221526557</c:v>
                </c:pt>
                <c:pt idx="272">
                  <c:v>3.3394214091238581</c:v>
                </c:pt>
                <c:pt idx="273">
                  <c:v>3.3376632960950627</c:v>
                </c:pt>
                <c:pt idx="274">
                  <c:v>3.3359051830662696</c:v>
                </c:pt>
                <c:pt idx="275">
                  <c:v>3.3341470700374787</c:v>
                </c:pt>
                <c:pt idx="276">
                  <c:v>3.3323889570086891</c:v>
                </c:pt>
                <c:pt idx="277">
                  <c:v>3.3306308439799008</c:v>
                </c:pt>
                <c:pt idx="278">
                  <c:v>3.3288727309511144</c:v>
                </c:pt>
                <c:pt idx="279">
                  <c:v>3.3271146179223288</c:v>
                </c:pt>
                <c:pt idx="280">
                  <c:v>3.3253565048935445</c:v>
                </c:pt>
                <c:pt idx="281">
                  <c:v>3.3235983918647611</c:v>
                </c:pt>
                <c:pt idx="282">
                  <c:v>3.3218402788359782</c:v>
                </c:pt>
                <c:pt idx="283">
                  <c:v>3.3200821658071962</c:v>
                </c:pt>
                <c:pt idx="284">
                  <c:v>3.3183240527784146</c:v>
                </c:pt>
                <c:pt idx="285">
                  <c:v>3.3165659397496339</c:v>
                </c:pt>
                <c:pt idx="286">
                  <c:v>3.3148078267208536</c:v>
                </c:pt>
                <c:pt idx="287">
                  <c:v>3.3130497136920738</c:v>
                </c:pt>
                <c:pt idx="288">
                  <c:v>3.3112916006632944</c:v>
                </c:pt>
                <c:pt idx="289">
                  <c:v>3.3095334876345155</c:v>
                </c:pt>
                <c:pt idx="290">
                  <c:v>3.3077753746057366</c:v>
                </c:pt>
                <c:pt idx="291">
                  <c:v>3.3060172615769581</c:v>
                </c:pt>
                <c:pt idx="292">
                  <c:v>3.30425914854818</c:v>
                </c:pt>
                <c:pt idx="293">
                  <c:v>3.302501035519402</c:v>
                </c:pt>
                <c:pt idx="294">
                  <c:v>3.300742922490624</c:v>
                </c:pt>
                <c:pt idx="295">
                  <c:v>3.2989848094618464</c:v>
                </c:pt>
                <c:pt idx="296">
                  <c:v>3.2972266964330692</c:v>
                </c:pt>
                <c:pt idx="297">
                  <c:v>3.2954685834042916</c:v>
                </c:pt>
                <c:pt idx="298">
                  <c:v>3.2937104703755145</c:v>
                </c:pt>
                <c:pt idx="299">
                  <c:v>3.2919523573467373</c:v>
                </c:pt>
                <c:pt idx="300">
                  <c:v>3.2901942443179606</c:v>
                </c:pt>
                <c:pt idx="301">
                  <c:v>3.2884361312891834</c:v>
                </c:pt>
                <c:pt idx="302">
                  <c:v>3.2866780182604067</c:v>
                </c:pt>
                <c:pt idx="303">
                  <c:v>3.28491990523163</c:v>
                </c:pt>
                <c:pt idx="304">
                  <c:v>3.2831617922028533</c:v>
                </c:pt>
                <c:pt idx="305">
                  <c:v>3.2814036791740766</c:v>
                </c:pt>
                <c:pt idx="306">
                  <c:v>3.2796455661452999</c:v>
                </c:pt>
                <c:pt idx="307">
                  <c:v>3.2778874531165232</c:v>
                </c:pt>
                <c:pt idx="308">
                  <c:v>3.2761293400877465</c:v>
                </c:pt>
                <c:pt idx="309">
                  <c:v>3.2743712270589702</c:v>
                </c:pt>
                <c:pt idx="310">
                  <c:v>3.2726131140301935</c:v>
                </c:pt>
                <c:pt idx="311">
                  <c:v>3.2708550010014172</c:v>
                </c:pt>
                <c:pt idx="312">
                  <c:v>3.269096887972641</c:v>
                </c:pt>
                <c:pt idx="313">
                  <c:v>3.2673387749438643</c:v>
                </c:pt>
                <c:pt idx="314">
                  <c:v>3.265580661915088</c:v>
                </c:pt>
                <c:pt idx="315">
                  <c:v>3.2638225488863117</c:v>
                </c:pt>
                <c:pt idx="316">
                  <c:v>3.2620644358575355</c:v>
                </c:pt>
                <c:pt idx="317">
                  <c:v>3.2603063228287588</c:v>
                </c:pt>
                <c:pt idx="318">
                  <c:v>3.2585482097999825</c:v>
                </c:pt>
                <c:pt idx="319">
                  <c:v>3.2567900967712062</c:v>
                </c:pt>
                <c:pt idx="320">
                  <c:v>3.25503198374243</c:v>
                </c:pt>
                <c:pt idx="321">
                  <c:v>3.2532738707136537</c:v>
                </c:pt>
                <c:pt idx="322">
                  <c:v>3.2515157576848774</c:v>
                </c:pt>
                <c:pt idx="323">
                  <c:v>3.2497576446561012</c:v>
                </c:pt>
                <c:pt idx="324">
                  <c:v>3.2479995316273249</c:v>
                </c:pt>
                <c:pt idx="325">
                  <c:v>3.2462414185985486</c:v>
                </c:pt>
                <c:pt idx="326">
                  <c:v>3.2444833055697724</c:v>
                </c:pt>
                <c:pt idx="327">
                  <c:v>3.2427251925409961</c:v>
                </c:pt>
                <c:pt idx="328">
                  <c:v>3.2409670795122199</c:v>
                </c:pt>
                <c:pt idx="329">
                  <c:v>3.2392089664834436</c:v>
                </c:pt>
                <c:pt idx="330">
                  <c:v>3.2374508534546673</c:v>
                </c:pt>
                <c:pt idx="331">
                  <c:v>3.2356927404258911</c:v>
                </c:pt>
                <c:pt idx="332">
                  <c:v>3.2339346273971148</c:v>
                </c:pt>
                <c:pt idx="333">
                  <c:v>3.2321765143683385</c:v>
                </c:pt>
                <c:pt idx="334">
                  <c:v>3.2304184013395623</c:v>
                </c:pt>
                <c:pt idx="335">
                  <c:v>3.228660288310786</c:v>
                </c:pt>
                <c:pt idx="336">
                  <c:v>3.2269021752820097</c:v>
                </c:pt>
                <c:pt idx="337">
                  <c:v>3.2251440622532335</c:v>
                </c:pt>
                <c:pt idx="338">
                  <c:v>3.2233859492244572</c:v>
                </c:pt>
                <c:pt idx="339">
                  <c:v>3.2216278361956809</c:v>
                </c:pt>
                <c:pt idx="340">
                  <c:v>3.2198697231669047</c:v>
                </c:pt>
                <c:pt idx="341">
                  <c:v>3.2181116101381284</c:v>
                </c:pt>
                <c:pt idx="342">
                  <c:v>3.2163534971093521</c:v>
                </c:pt>
                <c:pt idx="343">
                  <c:v>3.2145953840805759</c:v>
                </c:pt>
                <c:pt idx="344">
                  <c:v>3.2128372710517996</c:v>
                </c:pt>
                <c:pt idx="345">
                  <c:v>3.2110791580230233</c:v>
                </c:pt>
                <c:pt idx="346">
                  <c:v>3.2093210449942471</c:v>
                </c:pt>
                <c:pt idx="347">
                  <c:v>3.2075629319654708</c:v>
                </c:pt>
                <c:pt idx="348">
                  <c:v>3.2058048189366946</c:v>
                </c:pt>
                <c:pt idx="349">
                  <c:v>3.2040467059079183</c:v>
                </c:pt>
                <c:pt idx="350">
                  <c:v>3.202288592879142</c:v>
                </c:pt>
                <c:pt idx="351">
                  <c:v>3.2005304798503662</c:v>
                </c:pt>
                <c:pt idx="352">
                  <c:v>3.1987723668215899</c:v>
                </c:pt>
                <c:pt idx="353">
                  <c:v>3.1970142537928132</c:v>
                </c:pt>
                <c:pt idx="354">
                  <c:v>3.195256140764037</c:v>
                </c:pt>
                <c:pt idx="355">
                  <c:v>3.1934980277352611</c:v>
                </c:pt>
                <c:pt idx="356">
                  <c:v>3.1917399147064849</c:v>
                </c:pt>
                <c:pt idx="357">
                  <c:v>3.1899818016777086</c:v>
                </c:pt>
                <c:pt idx="358">
                  <c:v>3.1882236886489324</c:v>
                </c:pt>
                <c:pt idx="359">
                  <c:v>3.1864655756201561</c:v>
                </c:pt>
                <c:pt idx="360">
                  <c:v>3.1847074625913798</c:v>
                </c:pt>
                <c:pt idx="361">
                  <c:v>3.1829493495626036</c:v>
                </c:pt>
                <c:pt idx="362">
                  <c:v>3.1811912365338273</c:v>
                </c:pt>
                <c:pt idx="363">
                  <c:v>3.179433123505051</c:v>
                </c:pt>
                <c:pt idx="364">
                  <c:v>3.1776750104762748</c:v>
                </c:pt>
                <c:pt idx="365">
                  <c:v>3.1759168974474985</c:v>
                </c:pt>
                <c:pt idx="366">
                  <c:v>3.1741587844187222</c:v>
                </c:pt>
                <c:pt idx="367">
                  <c:v>3.172400671389946</c:v>
                </c:pt>
                <c:pt idx="368">
                  <c:v>3.1706425583611697</c:v>
                </c:pt>
                <c:pt idx="369">
                  <c:v>3.1688844453323934</c:v>
                </c:pt>
                <c:pt idx="370">
                  <c:v>3.1671263323036176</c:v>
                </c:pt>
                <c:pt idx="371">
                  <c:v>3.1653682192748409</c:v>
                </c:pt>
                <c:pt idx="372">
                  <c:v>3.1636101062460646</c:v>
                </c:pt>
                <c:pt idx="373">
                  <c:v>3.1618519932172888</c:v>
                </c:pt>
                <c:pt idx="374">
                  <c:v>3.1600938801885126</c:v>
                </c:pt>
                <c:pt idx="375">
                  <c:v>3.1583357671597363</c:v>
                </c:pt>
                <c:pt idx="376">
                  <c:v>3.15657765413096</c:v>
                </c:pt>
                <c:pt idx="377">
                  <c:v>3.1548195411021838</c:v>
                </c:pt>
                <c:pt idx="378">
                  <c:v>3.1530614280734075</c:v>
                </c:pt>
                <c:pt idx="379">
                  <c:v>3.1513033150446312</c:v>
                </c:pt>
                <c:pt idx="380">
                  <c:v>3.149545202015855</c:v>
                </c:pt>
                <c:pt idx="381">
                  <c:v>3.1477870889870787</c:v>
                </c:pt>
                <c:pt idx="382">
                  <c:v>3.1460289759583024</c:v>
                </c:pt>
                <c:pt idx="383">
                  <c:v>3.1442708629295262</c:v>
                </c:pt>
                <c:pt idx="384">
                  <c:v>3.1425127499007499</c:v>
                </c:pt>
                <c:pt idx="385">
                  <c:v>3.1407546368719736</c:v>
                </c:pt>
                <c:pt idx="386">
                  <c:v>3.1389965238431974</c:v>
                </c:pt>
                <c:pt idx="387">
                  <c:v>3.1372384108144211</c:v>
                </c:pt>
                <c:pt idx="388">
                  <c:v>3.1354802977856449</c:v>
                </c:pt>
                <c:pt idx="389">
                  <c:v>3.1337221847568686</c:v>
                </c:pt>
                <c:pt idx="390">
                  <c:v>3.1319640717280928</c:v>
                </c:pt>
                <c:pt idx="391">
                  <c:v>3.1302059586993161</c:v>
                </c:pt>
                <c:pt idx="392">
                  <c:v>3.1284478456705398</c:v>
                </c:pt>
                <c:pt idx="393">
                  <c:v>3.1266897326417635</c:v>
                </c:pt>
                <c:pt idx="394">
                  <c:v>3.1249316196129877</c:v>
                </c:pt>
                <c:pt idx="395">
                  <c:v>3.1231735065842114</c:v>
                </c:pt>
                <c:pt idx="396">
                  <c:v>3.1214153935554352</c:v>
                </c:pt>
                <c:pt idx="397">
                  <c:v>3.1196572805266589</c:v>
                </c:pt>
                <c:pt idx="398">
                  <c:v>3.1178991674978827</c:v>
                </c:pt>
                <c:pt idx="399">
                  <c:v>3.1161410544691064</c:v>
                </c:pt>
                <c:pt idx="400">
                  <c:v>3.1143829414403301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547184"/>
        <c:axId val="241549144"/>
      </c:scatterChart>
      <c:valAx>
        <c:axId val="241547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9144"/>
        <c:crosses val="autoZero"/>
        <c:crossBetween val="midCat"/>
      </c:valAx>
      <c:valAx>
        <c:axId val="241549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7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'13136PC_Biphasic'!$A$2:$A$19</c:f>
              <c:numCache>
                <c:formatCode>0.00</c:formatCod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'13136PC_Biphasic'!$B$2:$B$19</c:f>
              <c:numCache>
                <c:formatCode>0.00</c:formatCode>
                <c:ptCount val="18"/>
                <c:pt idx="0">
                  <c:v>5.4313637641589869</c:v>
                </c:pt>
                <c:pt idx="1">
                  <c:v>4.6020599913279625</c:v>
                </c:pt>
                <c:pt idx="2">
                  <c:v>3.8450980400142569</c:v>
                </c:pt>
                <c:pt idx="3">
                  <c:v>3.9684829485539352</c:v>
                </c:pt>
                <c:pt idx="4">
                  <c:v>3.4548448600085102</c:v>
                </c:pt>
                <c:pt idx="5">
                  <c:v>3.2671717284030137</c:v>
                </c:pt>
                <c:pt idx="6">
                  <c:v>5.2787536009528289</c:v>
                </c:pt>
                <c:pt idx="7">
                  <c:v>3.9542425094393248</c:v>
                </c:pt>
                <c:pt idx="8">
                  <c:v>3.9542425094393248</c:v>
                </c:pt>
                <c:pt idx="9">
                  <c:v>3.5185139398778875</c:v>
                </c:pt>
                <c:pt idx="10">
                  <c:v>3.2174839442139063</c:v>
                </c:pt>
                <c:pt idx="11">
                  <c:v>3.1760912590556813</c:v>
                </c:pt>
                <c:pt idx="12">
                  <c:v>4.9684829485539348</c:v>
                </c:pt>
                <c:pt idx="13">
                  <c:v>3.7781512503836434</c:v>
                </c:pt>
                <c:pt idx="14">
                  <c:v>3.3617278360175931</c:v>
                </c:pt>
                <c:pt idx="15">
                  <c:v>2.7993405494535817</c:v>
                </c:pt>
                <c:pt idx="16">
                  <c:v>3.3010299956639813</c:v>
                </c:pt>
                <c:pt idx="17">
                  <c:v>3.0606978403536118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'13136PC_Biphasic'!$A$23:$A$122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</c:numCache>
            </c:numRef>
          </c:xVal>
          <c:yVal>
            <c:numRef>
              <c:f>'13136PC_Biphasic'!$C$23:$C$122</c:f>
              <c:numCache>
                <c:formatCode>0.000</c:formatCode>
                <c:ptCount val="100"/>
                <c:pt idx="0">
                  <c:v>5.2227718592636068</c:v>
                </c:pt>
                <c:pt idx="1">
                  <c:v>5.1225841684372151</c:v>
                </c:pt>
                <c:pt idx="2">
                  <c:v>5.0233948721982067</c:v>
                </c:pt>
                <c:pt idx="3">
                  <c:v>4.9254265961789496</c:v>
                </c:pt>
                <c:pt idx="4">
                  <c:v>4.8289431641757385</c:v>
                </c:pt>
                <c:pt idx="5">
                  <c:v>4.7342530067448632</c:v>
                </c:pt>
                <c:pt idx="6">
                  <c:v>4.6417106950764424</c:v>
                </c:pt>
                <c:pt idx="7">
                  <c:v>4.5517154560260202</c:v>
                </c:pt>
                <c:pt idx="8">
                  <c:v>4.4647053654742042</c:v>
                </c:pt>
                <c:pt idx="9">
                  <c:v>4.3811459690660968</c:v>
                </c:pt>
                <c:pt idx="10">
                  <c:v>4.3015124860926797</c:v>
                </c:pt>
                <c:pt idx="11">
                  <c:v>4.2262656266950298</c:v>
                </c:pt>
                <c:pt idx="12">
                  <c:v>4.1558223871059603</c:v>
                </c:pt>
                <c:pt idx="13">
                  <c:v>4.090524761328231</c:v>
                </c:pt>
                <c:pt idx="14">
                  <c:v>4.0306106595098683</c:v>
                </c:pt>
                <c:pt idx="15">
                  <c:v>3.9761918683585495</c:v>
                </c:pt>
                <c:pt idx="16">
                  <c:v>3.9272431847602234</c:v>
                </c:pt>
                <c:pt idx="17">
                  <c:v>3.8836048941401904</c:v>
                </c:pt>
                <c:pt idx="18">
                  <c:v>3.8449980907792769</c:v>
                </c:pt>
                <c:pt idx="19">
                  <c:v>3.8110498314849917</c:v>
                </c:pt>
                <c:pt idx="20">
                  <c:v>3.7813235774846152</c:v>
                </c:pt>
                <c:pt idx="21">
                  <c:v>3.7553501598692964</c:v>
                </c:pt>
                <c:pt idx="22">
                  <c:v>3.73265540900235</c:v>
                </c:pt>
                <c:pt idx="23">
                  <c:v>3.712782086773454</c:v>
                </c:pt>
                <c:pt idx="24">
                  <c:v>3.6953052885596707</c:v>
                </c:pt>
                <c:pt idx="25">
                  <c:v>3.6798416611627411</c:v>
                </c:pt>
                <c:pt idx="26">
                  <c:v>3.6660534791249759</c:v>
                </c:pt>
                <c:pt idx="27">
                  <c:v>3.6536488827533482</c:v>
                </c:pt>
                <c:pt idx="28">
                  <c:v>3.6423795399576244</c:v>
                </c:pt>
                <c:pt idx="29">
                  <c:v>3.6320367908574926</c:v>
                </c:pt>
                <c:pt idx="30">
                  <c:v>3.6224470765669707</c:v>
                </c:pt>
                <c:pt idx="31">
                  <c:v>3.6134672073222518</c:v>
                </c:pt>
                <c:pt idx="32">
                  <c:v>3.6049798211840232</c:v>
                </c:pt>
                <c:pt idx="33">
                  <c:v>3.596889231120457</c:v>
                </c:pt>
                <c:pt idx="34">
                  <c:v>3.5891177513414356</c:v>
                </c:pt>
                <c:pt idx="35">
                  <c:v>3.581602524350104</c:v>
                </c:pt>
                <c:pt idx="36">
                  <c:v>3.5742928285887778</c:v>
                </c:pt>
                <c:pt idx="37">
                  <c:v>3.5671478242723555</c:v>
                </c:pt>
                <c:pt idx="38">
                  <c:v>3.5601346853594356</c:v>
                </c:pt>
                <c:pt idx="39">
                  <c:v>3.5532270637601933</c:v>
                </c:pt>
                <c:pt idx="40">
                  <c:v>3.5464038344832418</c:v>
                </c:pt>
                <c:pt idx="41">
                  <c:v>3.5396480752922468</c:v>
                </c:pt>
                <c:pt idx="42">
                  <c:v>3.5329462402081067</c:v>
                </c:pt>
                <c:pt idx="43">
                  <c:v>3.5262874920444411</c:v>
                </c:pt>
                <c:pt idx="44">
                  <c:v>3.5196631646594043</c:v>
                </c:pt>
                <c:pt idx="45">
                  <c:v>3.513066330532804</c:v>
                </c:pt>
                <c:pt idx="46">
                  <c:v>3.5064914535606353</c:v>
                </c:pt>
                <c:pt idx="47">
                  <c:v>3.4999341106056412</c:v>
                </c:pt>
                <c:pt idx="48">
                  <c:v>3.4933907684001624</c:v>
                </c:pt>
                <c:pt idx="49">
                  <c:v>3.486858604932924</c:v>
                </c:pt>
                <c:pt idx="50">
                  <c:v>3.4803353665359991</c:v>
                </c:pt>
                <c:pt idx="51">
                  <c:v>3.473819253591234</c:v>
                </c:pt>
                <c:pt idx="52">
                  <c:v>3.4673088291597782</c:v>
                </c:pt>
                <c:pt idx="53">
                  <c:v>3.4608029459594567</c:v>
                </c:pt>
                <c:pt idx="54">
                  <c:v>3.4543006880197833</c:v>
                </c:pt>
                <c:pt idx="55">
                  <c:v>3.447801324073426</c:v>
                </c:pt>
                <c:pt idx="56">
                  <c:v>3.4413042703290362</c:v>
                </c:pt>
                <c:pt idx="57">
                  <c:v>3.4348090607408146</c:v>
                </c:pt>
                <c:pt idx="58">
                  <c:v>3.4283153232674861</c:v>
                </c:pt>
                <c:pt idx="59">
                  <c:v>3.4218227609155578</c:v>
                </c:pt>
                <c:pt idx="60">
                  <c:v>3.4153311366036867</c:v>
                </c:pt>
                <c:pt idx="61">
                  <c:v>3.4088402610785349</c:v>
                </c:pt>
                <c:pt idx="62">
                  <c:v>3.402349983267297</c:v>
                </c:pt>
                <c:pt idx="63">
                  <c:v>3.3958601825758006</c:v>
                </c:pt>
                <c:pt idx="64">
                  <c:v>3.3893707627399889</c:v>
                </c:pt>
                <c:pt idx="65">
                  <c:v>3.3828816469175771</c:v>
                </c:pt>
                <c:pt idx="66">
                  <c:v>3.3763927737698047</c:v>
                </c:pt>
                <c:pt idx="67">
                  <c:v>3.3699040943336072</c:v>
                </c:pt>
                <c:pt idx="68">
                  <c:v>3.3634155695247738</c:v>
                </c:pt>
                <c:pt idx="69">
                  <c:v>3.3569271681448312</c:v>
                </c:pt>
                <c:pt idx="70">
                  <c:v>3.3504388652900254</c:v>
                </c:pt>
                <c:pt idx="71">
                  <c:v>3.3439506410812969</c:v>
                </c:pt>
                <c:pt idx="72">
                  <c:v>3.3374624796504895</c:v>
                </c:pt>
                <c:pt idx="73">
                  <c:v>3.3309743683310971</c:v>
                </c:pt>
                <c:pt idx="74">
                  <c:v>3.3244862970122853</c:v>
                </c:pt>
                <c:pt idx="75">
                  <c:v>3.3179982576232478</c:v>
                </c:pt>
                <c:pt idx="76">
                  <c:v>3.3115102437215986</c:v>
                </c:pt>
                <c:pt idx="77">
                  <c:v>3.3050222501648134</c:v>
                </c:pt>
                <c:pt idx="78">
                  <c:v>3.2985342728479581</c:v>
                </c:pt>
                <c:pt idx="79">
                  <c:v>3.2920463084943421</c:v>
                </c:pt>
                <c:pt idx="80">
                  <c:v>3.2855583544884031</c:v>
                </c:pt>
                <c:pt idx="81">
                  <c:v>3.2790704087423141</c:v>
                </c:pt>
                <c:pt idx="82">
                  <c:v>3.2725824695895049</c:v>
                </c:pt>
                <c:pt idx="83">
                  <c:v>3.266094535699664</c:v>
                </c:pt>
                <c:pt idx="84">
                  <c:v>3.2596066060108941</c:v>
                </c:pt>
                <c:pt idx="85">
                  <c:v>3.2531186796755547</c:v>
                </c:pt>
                <c:pt idx="86">
                  <c:v>3.2466307560170318</c:v>
                </c:pt>
                <c:pt idx="87">
                  <c:v>3.2401428344952299</c:v>
                </c:pt>
                <c:pt idx="88">
                  <c:v>3.2336549146790272</c:v>
                </c:pt>
                <c:pt idx="89">
                  <c:v>3.2271669962242893</c:v>
                </c:pt>
                <c:pt idx="90">
                  <c:v>3.2206790788563158</c:v>
                </c:pt>
                <c:pt idx="91">
                  <c:v>3.2141911623558332</c:v>
                </c:pt>
                <c:pt idx="92">
                  <c:v>3.2077032465478093</c:v>
                </c:pt>
                <c:pt idx="93">
                  <c:v>3.2012153312925284</c:v>
                </c:pt>
                <c:pt idx="94">
                  <c:v>3.1947274164784649</c:v>
                </c:pt>
                <c:pt idx="95">
                  <c:v>3.1882395020165957</c:v>
                </c:pt>
                <c:pt idx="96">
                  <c:v>3.1817515878358584</c:v>
                </c:pt>
                <c:pt idx="97">
                  <c:v>3.1752636738795301</c:v>
                </c:pt>
                <c:pt idx="98">
                  <c:v>3.1687757601023323</c:v>
                </c:pt>
                <c:pt idx="99">
                  <c:v>3.1622878464681223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547576"/>
        <c:axId val="241549928"/>
      </c:scatterChart>
      <c:valAx>
        <c:axId val="241547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9928"/>
        <c:crosses val="autoZero"/>
        <c:crossBetween val="midCat"/>
      </c:valAx>
      <c:valAx>
        <c:axId val="241549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47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187325</xdr:rowOff>
    </xdr:from>
    <xdr:to>
      <xdr:col>13</xdr:col>
      <xdr:colOff>95381</xdr:colOff>
      <xdr:row>37</xdr:row>
      <xdr:rowOff>78725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17</xdr:row>
      <xdr:rowOff>25400</xdr:rowOff>
    </xdr:from>
    <xdr:to>
      <xdr:col>13</xdr:col>
      <xdr:colOff>524005</xdr:colOff>
      <xdr:row>38</xdr:row>
      <xdr:rowOff>107300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15</xdr:row>
      <xdr:rowOff>168275</xdr:rowOff>
    </xdr:from>
    <xdr:to>
      <xdr:col>14</xdr:col>
      <xdr:colOff>59662</xdr:colOff>
      <xdr:row>37</xdr:row>
      <xdr:rowOff>59675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15</xdr:row>
      <xdr:rowOff>177800</xdr:rowOff>
    </xdr:from>
    <xdr:to>
      <xdr:col>13</xdr:col>
      <xdr:colOff>516862</xdr:colOff>
      <xdr:row>37</xdr:row>
      <xdr:rowOff>69200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15</xdr:row>
      <xdr:rowOff>187325</xdr:rowOff>
    </xdr:from>
    <xdr:to>
      <xdr:col>13</xdr:col>
      <xdr:colOff>524005</xdr:colOff>
      <xdr:row>37</xdr:row>
      <xdr:rowOff>78725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16</xdr:row>
      <xdr:rowOff>11112</xdr:rowOff>
    </xdr:from>
    <xdr:to>
      <xdr:col>13</xdr:col>
      <xdr:colOff>497811</xdr:colOff>
      <xdr:row>37</xdr:row>
      <xdr:rowOff>93012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15</xdr:row>
      <xdr:rowOff>25400</xdr:rowOff>
    </xdr:from>
    <xdr:to>
      <xdr:col>14</xdr:col>
      <xdr:colOff>69187</xdr:colOff>
      <xdr:row>36</xdr:row>
      <xdr:rowOff>107300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15</xdr:row>
      <xdr:rowOff>187325</xdr:rowOff>
    </xdr:from>
    <xdr:to>
      <xdr:col>13</xdr:col>
      <xdr:colOff>571630</xdr:colOff>
      <xdr:row>37</xdr:row>
      <xdr:rowOff>78725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zoomScale="80" zoomScaleNormal="80" workbookViewId="0"/>
  </sheetViews>
  <sheetFormatPr defaultRowHeight="15" x14ac:dyDescent="0.25"/>
  <cols>
    <col min="1" max="1" width="9.140625" style="28"/>
    <col min="3" max="3" width="11.7109375" bestFit="1" customWidth="1"/>
    <col min="4" max="4" width="13.7109375" bestFit="1" customWidth="1"/>
  </cols>
  <sheetData>
    <row r="1" spans="1:6" x14ac:dyDescent="0.25">
      <c r="A1" s="2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6" x14ac:dyDescent="0.25">
      <c r="A2" s="27">
        <v>12628</v>
      </c>
      <c r="B2" s="17" t="s">
        <v>4</v>
      </c>
      <c r="C2" s="17" t="s">
        <v>41</v>
      </c>
      <c r="D2" s="17" t="s">
        <v>40</v>
      </c>
      <c r="E2" s="11">
        <v>0</v>
      </c>
      <c r="F2" s="21">
        <f>LOG10(10.3*10^5)</f>
        <v>6.012837224705172</v>
      </c>
    </row>
    <row r="3" spans="1:6" x14ac:dyDescent="0.25">
      <c r="A3" s="27">
        <v>12628</v>
      </c>
      <c r="B3" s="17" t="s">
        <v>4</v>
      </c>
      <c r="C3" s="17" t="s">
        <v>41</v>
      </c>
      <c r="D3" s="17" t="s">
        <v>40</v>
      </c>
      <c r="E3" s="11">
        <v>0.5</v>
      </c>
      <c r="F3" s="21">
        <f>LOG10(1.28*10^5)</f>
        <v>5.1072099696478688</v>
      </c>
    </row>
    <row r="4" spans="1:6" x14ac:dyDescent="0.25">
      <c r="A4" s="27">
        <v>12628</v>
      </c>
      <c r="B4" s="17" t="s">
        <v>4</v>
      </c>
      <c r="C4" s="17" t="s">
        <v>41</v>
      </c>
      <c r="D4" s="17" t="s">
        <v>40</v>
      </c>
      <c r="E4" s="11">
        <v>1</v>
      </c>
      <c r="F4" s="21">
        <f>LOG10(1.13*10^5)</f>
        <v>5.0530784434834199</v>
      </c>
    </row>
    <row r="5" spans="1:6" x14ac:dyDescent="0.25">
      <c r="A5" s="27">
        <v>12628</v>
      </c>
      <c r="B5" s="17" t="s">
        <v>4</v>
      </c>
      <c r="C5" s="17" t="s">
        <v>41</v>
      </c>
      <c r="D5" s="17" t="s">
        <v>40</v>
      </c>
      <c r="E5" s="11">
        <v>2</v>
      </c>
      <c r="F5" s="21">
        <f>LOG10(1.03*10^4)</f>
        <v>4.012837224705172</v>
      </c>
    </row>
    <row r="6" spans="1:6" x14ac:dyDescent="0.25">
      <c r="A6" s="27">
        <v>12628</v>
      </c>
      <c r="B6" s="17" t="s">
        <v>4</v>
      </c>
      <c r="C6" s="17" t="s">
        <v>41</v>
      </c>
      <c r="D6" s="17" t="s">
        <v>40</v>
      </c>
      <c r="E6" s="11">
        <v>3</v>
      </c>
      <c r="F6" s="21">
        <f>LOG10(2.35*10^4)</f>
        <v>4.3710678622717358</v>
      </c>
    </row>
    <row r="7" spans="1:6" x14ac:dyDescent="0.25">
      <c r="A7" s="27">
        <v>12628</v>
      </c>
      <c r="B7" s="17" t="s">
        <v>4</v>
      </c>
      <c r="C7" s="17" t="s">
        <v>41</v>
      </c>
      <c r="D7" s="17" t="s">
        <v>40</v>
      </c>
      <c r="E7" s="11">
        <v>4</v>
      </c>
      <c r="F7" s="21">
        <f>LOG10(5.65*10^4)</f>
        <v>4.7520484478194387</v>
      </c>
    </row>
    <row r="8" spans="1:6" x14ac:dyDescent="0.25">
      <c r="A8" s="27">
        <v>12628</v>
      </c>
      <c r="B8" s="17" t="s">
        <v>5</v>
      </c>
      <c r="C8" s="17" t="s">
        <v>41</v>
      </c>
      <c r="D8" s="17" t="s">
        <v>40</v>
      </c>
      <c r="E8" s="11">
        <v>0</v>
      </c>
      <c r="F8" s="21">
        <f>LOG10(7*10^5)</f>
        <v>5.8450980400142569</v>
      </c>
    </row>
    <row r="9" spans="1:6" x14ac:dyDescent="0.25">
      <c r="A9" s="27">
        <v>12628</v>
      </c>
      <c r="B9" s="17" t="s">
        <v>5</v>
      </c>
      <c r="C9" s="17" t="s">
        <v>41</v>
      </c>
      <c r="D9" s="17" t="s">
        <v>40</v>
      </c>
      <c r="E9" s="11">
        <v>0.5</v>
      </c>
      <c r="F9" s="21">
        <f>LOG10(1.77*10^4)</f>
        <v>4.2479732663618064</v>
      </c>
    </row>
    <row r="10" spans="1:6" x14ac:dyDescent="0.25">
      <c r="A10" s="27">
        <v>12628</v>
      </c>
      <c r="B10" s="17" t="s">
        <v>5</v>
      </c>
      <c r="C10" s="17" t="s">
        <v>41</v>
      </c>
      <c r="D10" s="17" t="s">
        <v>40</v>
      </c>
      <c r="E10" s="11">
        <v>1</v>
      </c>
      <c r="F10" s="21">
        <f>LOG10(1.47*10^4)</f>
        <v>4.1673173347481764</v>
      </c>
    </row>
    <row r="11" spans="1:6" x14ac:dyDescent="0.25">
      <c r="A11" s="27">
        <v>12628</v>
      </c>
      <c r="B11" s="17" t="s">
        <v>5</v>
      </c>
      <c r="C11" s="17" t="s">
        <v>41</v>
      </c>
      <c r="D11" s="17" t="s">
        <v>40</v>
      </c>
      <c r="E11" s="11">
        <v>2</v>
      </c>
      <c r="F11" s="21">
        <f>LOG10(3.7*10^4)</f>
        <v>4.568201724066995</v>
      </c>
    </row>
    <row r="12" spans="1:6" x14ac:dyDescent="0.25">
      <c r="A12" s="27">
        <v>12628</v>
      </c>
      <c r="B12" s="17" t="s">
        <v>5</v>
      </c>
      <c r="C12" s="17" t="s">
        <v>41</v>
      </c>
      <c r="D12" s="17" t="s">
        <v>40</v>
      </c>
      <c r="E12" s="11">
        <v>3</v>
      </c>
      <c r="F12" s="21">
        <f>LOG10(10.85*10^3)</f>
        <v>4.0354297381845488</v>
      </c>
    </row>
    <row r="13" spans="1:6" x14ac:dyDescent="0.25">
      <c r="A13" s="27">
        <v>12628</v>
      </c>
      <c r="B13" s="17" t="s">
        <v>5</v>
      </c>
      <c r="C13" s="17" t="s">
        <v>41</v>
      </c>
      <c r="D13" s="17" t="s">
        <v>40</v>
      </c>
      <c r="E13" s="11">
        <v>4</v>
      </c>
      <c r="F13" s="21">
        <f>LOG10(1.1*10^4)</f>
        <v>4.0413926851582254</v>
      </c>
    </row>
    <row r="14" spans="1:6" x14ac:dyDescent="0.25">
      <c r="A14" s="27">
        <v>12628</v>
      </c>
      <c r="B14" s="17" t="s">
        <v>6</v>
      </c>
      <c r="C14" s="17" t="s">
        <v>41</v>
      </c>
      <c r="D14" s="17" t="s">
        <v>40</v>
      </c>
      <c r="E14" s="11">
        <v>0</v>
      </c>
      <c r="F14" s="21">
        <f>LOG10(5.7*10^5)</f>
        <v>5.7558748556724915</v>
      </c>
    </row>
    <row r="15" spans="1:6" x14ac:dyDescent="0.25">
      <c r="A15" s="27">
        <v>12628</v>
      </c>
      <c r="B15" s="17" t="s">
        <v>6</v>
      </c>
      <c r="C15" s="17" t="s">
        <v>41</v>
      </c>
      <c r="D15" s="17" t="s">
        <v>40</v>
      </c>
      <c r="E15" s="11">
        <v>0.5</v>
      </c>
      <c r="F15" s="21">
        <f>LOG10(2.1*10^4)</f>
        <v>4.3222192947339195</v>
      </c>
    </row>
    <row r="16" spans="1:6" x14ac:dyDescent="0.25">
      <c r="A16" s="27">
        <v>12628</v>
      </c>
      <c r="B16" s="17" t="s">
        <v>6</v>
      </c>
      <c r="C16" s="17" t="s">
        <v>41</v>
      </c>
      <c r="D16" s="17" t="s">
        <v>40</v>
      </c>
      <c r="E16" s="11">
        <v>1</v>
      </c>
      <c r="F16" s="21">
        <f>LOG10(2.33*10^4)</f>
        <v>4.3673559210260189</v>
      </c>
    </row>
    <row r="17" spans="1:6" x14ac:dyDescent="0.25">
      <c r="A17" s="27">
        <v>12628</v>
      </c>
      <c r="B17" s="17" t="s">
        <v>6</v>
      </c>
      <c r="C17" s="17" t="s">
        <v>41</v>
      </c>
      <c r="D17" s="17" t="s">
        <v>40</v>
      </c>
      <c r="E17" s="11">
        <v>2</v>
      </c>
      <c r="F17" s="21">
        <f>LOG10(1.5*10^4)</f>
        <v>4.1760912590556813</v>
      </c>
    </row>
    <row r="18" spans="1:6" x14ac:dyDescent="0.25">
      <c r="A18" s="27">
        <v>12628</v>
      </c>
      <c r="B18" s="17" t="s">
        <v>6</v>
      </c>
      <c r="C18" s="17" t="s">
        <v>41</v>
      </c>
      <c r="D18" s="17" t="s">
        <v>40</v>
      </c>
      <c r="E18" s="11">
        <v>3</v>
      </c>
      <c r="F18" s="21">
        <f>LOG10(7.35*10^3)</f>
        <v>3.8662873390841948</v>
      </c>
    </row>
    <row r="19" spans="1:6" x14ac:dyDescent="0.25">
      <c r="A19" s="27">
        <v>12628</v>
      </c>
      <c r="B19" s="17" t="s">
        <v>6</v>
      </c>
      <c r="C19" s="17" t="s">
        <v>41</v>
      </c>
      <c r="D19" s="17" t="s">
        <v>40</v>
      </c>
      <c r="E19" s="11">
        <v>4</v>
      </c>
      <c r="F19" s="21">
        <f>LOG10(10.15*10^3)</f>
        <v>4.0064660422492313</v>
      </c>
    </row>
    <row r="20" spans="1:6" x14ac:dyDescent="0.25">
      <c r="A20" s="27">
        <v>12628</v>
      </c>
      <c r="B20" s="17" t="s">
        <v>4</v>
      </c>
      <c r="C20" s="17" t="s">
        <v>42</v>
      </c>
      <c r="D20" s="17" t="s">
        <v>40</v>
      </c>
      <c r="E20" s="11">
        <v>0</v>
      </c>
      <c r="F20" s="21">
        <f>LOG10(4.3*10^5)</f>
        <v>5.6334684555795862</v>
      </c>
    </row>
    <row r="21" spans="1:6" x14ac:dyDescent="0.25">
      <c r="A21" s="27">
        <v>12628</v>
      </c>
      <c r="B21" s="17" t="s">
        <v>4</v>
      </c>
      <c r="C21" s="17" t="s">
        <v>42</v>
      </c>
      <c r="D21" s="17" t="s">
        <v>40</v>
      </c>
      <c r="E21" s="11">
        <v>0.5</v>
      </c>
      <c r="F21" s="21">
        <f>LOG10(8.3*10^4)</f>
        <v>4.9190780923760737</v>
      </c>
    </row>
    <row r="22" spans="1:6" x14ac:dyDescent="0.25">
      <c r="A22" s="27">
        <v>12628</v>
      </c>
      <c r="B22" s="17" t="s">
        <v>4</v>
      </c>
      <c r="C22" s="17" t="s">
        <v>42</v>
      </c>
      <c r="D22" s="17" t="s">
        <v>40</v>
      </c>
      <c r="E22" s="11">
        <v>1</v>
      </c>
      <c r="F22" s="21">
        <f>LOG10(2.03*10^4)</f>
        <v>4.3074960379132126</v>
      </c>
    </row>
    <row r="23" spans="1:6" x14ac:dyDescent="0.25">
      <c r="A23" s="27">
        <v>12628</v>
      </c>
      <c r="B23" s="17" t="s">
        <v>4</v>
      </c>
      <c r="C23" s="17" t="s">
        <v>42</v>
      </c>
      <c r="D23" s="17" t="s">
        <v>40</v>
      </c>
      <c r="E23" s="11">
        <v>2</v>
      </c>
      <c r="F23" s="21">
        <f>LOG10(6.3*10^4)</f>
        <v>4.7993405494535821</v>
      </c>
    </row>
    <row r="24" spans="1:6" x14ac:dyDescent="0.25">
      <c r="A24" s="27">
        <v>12628</v>
      </c>
      <c r="B24" s="17" t="s">
        <v>4</v>
      </c>
      <c r="C24" s="17" t="s">
        <v>42</v>
      </c>
      <c r="D24" s="17" t="s">
        <v>40</v>
      </c>
      <c r="E24" s="11">
        <v>3</v>
      </c>
      <c r="F24" s="21">
        <f>LOG10(10.5*10^3)</f>
        <v>4.0211892990699383</v>
      </c>
    </row>
    <row r="25" spans="1:6" x14ac:dyDescent="0.25">
      <c r="A25" s="27">
        <v>12628</v>
      </c>
      <c r="B25" s="17" t="s">
        <v>4</v>
      </c>
      <c r="C25" s="17" t="s">
        <v>42</v>
      </c>
      <c r="D25" s="17" t="s">
        <v>40</v>
      </c>
      <c r="E25" s="11">
        <v>4</v>
      </c>
      <c r="F25" s="21">
        <f>LOG10(13.35*10^2)</f>
        <v>3.1254812657005941</v>
      </c>
    </row>
    <row r="26" spans="1:6" x14ac:dyDescent="0.25">
      <c r="A26" s="27">
        <v>12628</v>
      </c>
      <c r="B26" s="17" t="s">
        <v>5</v>
      </c>
      <c r="C26" s="17" t="s">
        <v>42</v>
      </c>
      <c r="D26" s="17" t="s">
        <v>40</v>
      </c>
      <c r="E26" s="11">
        <v>0</v>
      </c>
      <c r="F26" s="21">
        <f>LOG10(5*10^5)</f>
        <v>5.6989700043360187</v>
      </c>
    </row>
    <row r="27" spans="1:6" x14ac:dyDescent="0.25">
      <c r="A27" s="27">
        <v>12628</v>
      </c>
      <c r="B27" s="17" t="s">
        <v>5</v>
      </c>
      <c r="C27" s="17" t="s">
        <v>42</v>
      </c>
      <c r="D27" s="17" t="s">
        <v>40</v>
      </c>
      <c r="E27" s="11">
        <v>0.5</v>
      </c>
      <c r="F27" s="21">
        <f>LOG10(7*10^4)</f>
        <v>4.8450980400142569</v>
      </c>
    </row>
    <row r="28" spans="1:6" x14ac:dyDescent="0.25">
      <c r="A28" s="27">
        <v>12628</v>
      </c>
      <c r="B28" s="17" t="s">
        <v>5</v>
      </c>
      <c r="C28" s="17" t="s">
        <v>42</v>
      </c>
      <c r="D28" s="17" t="s">
        <v>40</v>
      </c>
      <c r="E28" s="11">
        <v>1</v>
      </c>
      <c r="F28" s="21">
        <f>LOG10(4.7*10^4)</f>
        <v>4.6720978579357171</v>
      </c>
    </row>
    <row r="29" spans="1:6" x14ac:dyDescent="0.25">
      <c r="A29" s="27">
        <v>12628</v>
      </c>
      <c r="B29" s="17" t="s">
        <v>5</v>
      </c>
      <c r="C29" s="17" t="s">
        <v>42</v>
      </c>
      <c r="D29" s="17" t="s">
        <v>40</v>
      </c>
      <c r="E29" s="11">
        <v>2</v>
      </c>
      <c r="F29" s="21">
        <f>LOG10(1.13*10^4)</f>
        <v>4.0530784434834199</v>
      </c>
    </row>
    <row r="30" spans="1:6" x14ac:dyDescent="0.25">
      <c r="A30" s="27">
        <v>12628</v>
      </c>
      <c r="B30" s="17" t="s">
        <v>5</v>
      </c>
      <c r="C30" s="17" t="s">
        <v>42</v>
      </c>
      <c r="D30" s="17" t="s">
        <v>40</v>
      </c>
      <c r="E30" s="11">
        <v>3</v>
      </c>
      <c r="F30" s="21">
        <f>LOG10(5.15*10^3)</f>
        <v>3.7118072290411912</v>
      </c>
    </row>
    <row r="31" spans="1:6" x14ac:dyDescent="0.25">
      <c r="A31" s="27">
        <v>12628</v>
      </c>
      <c r="B31" s="17" t="s">
        <v>5</v>
      </c>
      <c r="C31" s="17" t="s">
        <v>42</v>
      </c>
      <c r="D31" s="17" t="s">
        <v>40</v>
      </c>
      <c r="E31" s="11">
        <v>4</v>
      </c>
      <c r="F31" s="21">
        <f>LOG10(2.65*10^3)</f>
        <v>3.4232458739368079</v>
      </c>
    </row>
    <row r="32" spans="1:6" x14ac:dyDescent="0.25">
      <c r="A32" s="27">
        <v>12628</v>
      </c>
      <c r="B32" s="17" t="s">
        <v>6</v>
      </c>
      <c r="C32" s="17" t="s">
        <v>42</v>
      </c>
      <c r="D32" s="17" t="s">
        <v>40</v>
      </c>
      <c r="E32" s="11">
        <v>0</v>
      </c>
      <c r="F32" s="21">
        <f>LOG10(5*10^5)</f>
        <v>5.6989700043360187</v>
      </c>
    </row>
    <row r="33" spans="1:6" x14ac:dyDescent="0.25">
      <c r="A33" s="27">
        <v>12628</v>
      </c>
      <c r="B33" s="17" t="s">
        <v>6</v>
      </c>
      <c r="C33" s="17" t="s">
        <v>42</v>
      </c>
      <c r="D33" s="17" t="s">
        <v>40</v>
      </c>
      <c r="E33" s="11">
        <v>0.5</v>
      </c>
      <c r="F33" s="21">
        <f>LOG10(5*10^4)</f>
        <v>4.6989700043360187</v>
      </c>
    </row>
    <row r="34" spans="1:6" x14ac:dyDescent="0.25">
      <c r="A34" s="27">
        <v>12628</v>
      </c>
      <c r="B34" s="17" t="s">
        <v>6</v>
      </c>
      <c r="C34" s="17" t="s">
        <v>42</v>
      </c>
      <c r="D34" s="17" t="s">
        <v>40</v>
      </c>
      <c r="E34" s="11">
        <v>1</v>
      </c>
      <c r="F34" s="21">
        <f>LOG10(1.73*10^4)</f>
        <v>4.238046103128795</v>
      </c>
    </row>
    <row r="35" spans="1:6" x14ac:dyDescent="0.25">
      <c r="A35" s="27">
        <v>12628</v>
      </c>
      <c r="B35" s="17" t="s">
        <v>6</v>
      </c>
      <c r="C35" s="17" t="s">
        <v>42</v>
      </c>
      <c r="D35" s="17" t="s">
        <v>40</v>
      </c>
      <c r="E35" s="11">
        <v>2</v>
      </c>
      <c r="F35" s="21">
        <f>LOG10(1.43*10^4)</f>
        <v>4.1553360374650614</v>
      </c>
    </row>
    <row r="36" spans="1:6" x14ac:dyDescent="0.25">
      <c r="A36" s="27">
        <v>12628</v>
      </c>
      <c r="B36" s="17" t="s">
        <v>6</v>
      </c>
      <c r="C36" s="17" t="s">
        <v>42</v>
      </c>
      <c r="D36" s="17" t="s">
        <v>40</v>
      </c>
      <c r="E36" s="11">
        <v>3</v>
      </c>
      <c r="F36" s="21">
        <f>LOG10(8*10^3)</f>
        <v>3.9030899869919438</v>
      </c>
    </row>
    <row r="37" spans="1:6" x14ac:dyDescent="0.25">
      <c r="A37" s="27">
        <v>12628</v>
      </c>
      <c r="B37" s="17" t="s">
        <v>6</v>
      </c>
      <c r="C37" s="17" t="s">
        <v>42</v>
      </c>
      <c r="D37" s="17" t="s">
        <v>40</v>
      </c>
      <c r="E37" s="11">
        <v>4</v>
      </c>
      <c r="F37" s="21">
        <f>LOG10(1.6*10^4)</f>
        <v>4.204119982655925</v>
      </c>
    </row>
    <row r="38" spans="1:6" x14ac:dyDescent="0.25">
      <c r="A38" s="27">
        <v>12662</v>
      </c>
      <c r="B38" s="17" t="s">
        <v>4</v>
      </c>
      <c r="C38" s="17" t="s">
        <v>41</v>
      </c>
      <c r="D38" s="17" t="s">
        <v>40</v>
      </c>
      <c r="E38" s="11">
        <v>0</v>
      </c>
      <c r="F38" s="21">
        <f>LOG10(4.7*10^5)</f>
        <v>5.6720978579357171</v>
      </c>
    </row>
    <row r="39" spans="1:6" x14ac:dyDescent="0.25">
      <c r="A39" s="27">
        <v>12662</v>
      </c>
      <c r="B39" s="17" t="s">
        <v>4</v>
      </c>
      <c r="C39" s="17" t="s">
        <v>41</v>
      </c>
      <c r="D39" s="17" t="s">
        <v>40</v>
      </c>
      <c r="E39" s="11">
        <v>0.5</v>
      </c>
      <c r="F39" s="21">
        <f>LOG10(1.53*10^4)</f>
        <v>4.1846914308175984</v>
      </c>
    </row>
    <row r="40" spans="1:6" x14ac:dyDescent="0.25">
      <c r="A40" s="27">
        <v>12662</v>
      </c>
      <c r="B40" s="17" t="s">
        <v>4</v>
      </c>
      <c r="C40" s="17" t="s">
        <v>41</v>
      </c>
      <c r="D40" s="17" t="s">
        <v>40</v>
      </c>
      <c r="E40" s="11">
        <v>1</v>
      </c>
      <c r="F40" s="21">
        <f>LOG10(1.1*10^4)</f>
        <v>4.0413926851582254</v>
      </c>
    </row>
    <row r="41" spans="1:6" x14ac:dyDescent="0.25">
      <c r="A41" s="27">
        <v>12662</v>
      </c>
      <c r="B41" s="17" t="s">
        <v>4</v>
      </c>
      <c r="C41" s="17" t="s">
        <v>41</v>
      </c>
      <c r="D41" s="17" t="s">
        <v>40</v>
      </c>
      <c r="E41" s="11">
        <v>2</v>
      </c>
      <c r="F41" s="21">
        <f>LOG10(9.3*10^3)</f>
        <v>3.9684829485539352</v>
      </c>
    </row>
    <row r="42" spans="1:6" x14ac:dyDescent="0.25">
      <c r="A42" s="27">
        <v>12662</v>
      </c>
      <c r="B42" s="17" t="s">
        <v>4</v>
      </c>
      <c r="C42" s="17" t="s">
        <v>41</v>
      </c>
      <c r="D42" s="17" t="s">
        <v>40</v>
      </c>
      <c r="E42" s="11">
        <v>3</v>
      </c>
      <c r="F42" s="21">
        <f>LOG10(1.85*10^4)</f>
        <v>4.2671717284030137</v>
      </c>
    </row>
    <row r="43" spans="1:6" x14ac:dyDescent="0.25">
      <c r="A43" s="27">
        <v>12662</v>
      </c>
      <c r="B43" s="17" t="s">
        <v>4</v>
      </c>
      <c r="C43" s="17" t="s">
        <v>41</v>
      </c>
      <c r="D43" s="17" t="s">
        <v>40</v>
      </c>
      <c r="E43" s="11">
        <v>4</v>
      </c>
      <c r="F43" s="21">
        <f>LOG10(1.65*10^4)</f>
        <v>4.2174839442139067</v>
      </c>
    </row>
    <row r="44" spans="1:6" x14ac:dyDescent="0.25">
      <c r="A44" s="27">
        <v>12662</v>
      </c>
      <c r="B44" s="17" t="s">
        <v>5</v>
      </c>
      <c r="C44" s="17" t="s">
        <v>41</v>
      </c>
      <c r="D44" s="17" t="s">
        <v>40</v>
      </c>
      <c r="E44" s="11">
        <v>0</v>
      </c>
      <c r="F44" s="21">
        <f>LOG10(5*10^5)</f>
        <v>5.6989700043360187</v>
      </c>
    </row>
    <row r="45" spans="1:6" x14ac:dyDescent="0.25">
      <c r="A45" s="27">
        <v>12662</v>
      </c>
      <c r="B45" s="17" t="s">
        <v>5</v>
      </c>
      <c r="C45" s="17" t="s">
        <v>41</v>
      </c>
      <c r="D45" s="17" t="s">
        <v>40</v>
      </c>
      <c r="E45" s="11">
        <v>0.5</v>
      </c>
      <c r="F45" s="21">
        <f>LOG10(5.3*10^4)</f>
        <v>4.7242758696007892</v>
      </c>
    </row>
    <row r="46" spans="1:6" x14ac:dyDescent="0.25">
      <c r="A46" s="27">
        <v>12662</v>
      </c>
      <c r="B46" s="17" t="s">
        <v>5</v>
      </c>
      <c r="C46" s="17" t="s">
        <v>41</v>
      </c>
      <c r="D46" s="17" t="s">
        <v>40</v>
      </c>
      <c r="E46" s="11">
        <v>1</v>
      </c>
      <c r="F46" s="21">
        <f>LOG10(2.33*10^4)</f>
        <v>4.3673559210260189</v>
      </c>
    </row>
    <row r="47" spans="1:6" x14ac:dyDescent="0.25">
      <c r="A47" s="27">
        <v>12662</v>
      </c>
      <c r="B47" s="17" t="s">
        <v>5</v>
      </c>
      <c r="C47" s="17" t="s">
        <v>41</v>
      </c>
      <c r="D47" s="17" t="s">
        <v>40</v>
      </c>
      <c r="E47" s="11">
        <v>2</v>
      </c>
      <c r="F47" s="21">
        <f>LOG10(1.2*10^4)</f>
        <v>4.0791812460476251</v>
      </c>
    </row>
    <row r="48" spans="1:6" x14ac:dyDescent="0.25">
      <c r="A48" s="27">
        <v>12662</v>
      </c>
      <c r="B48" s="17" t="s">
        <v>5</v>
      </c>
      <c r="C48" s="17" t="s">
        <v>41</v>
      </c>
      <c r="D48" s="17" t="s">
        <v>40</v>
      </c>
      <c r="E48" s="11">
        <v>3</v>
      </c>
      <c r="F48" s="21">
        <f>LOG10(1.24*10^3)</f>
        <v>3.0934216851622351</v>
      </c>
    </row>
    <row r="49" spans="1:6" x14ac:dyDescent="0.25">
      <c r="A49" s="27">
        <v>12662</v>
      </c>
      <c r="B49" s="17" t="s">
        <v>5</v>
      </c>
      <c r="C49" s="17" t="s">
        <v>41</v>
      </c>
      <c r="D49" s="17" t="s">
        <v>40</v>
      </c>
      <c r="E49" s="11">
        <v>4</v>
      </c>
      <c r="F49" s="21">
        <f>LOG10(10.15*10^3)</f>
        <v>4.0064660422492313</v>
      </c>
    </row>
    <row r="50" spans="1:6" x14ac:dyDescent="0.25">
      <c r="A50" s="27">
        <v>12662</v>
      </c>
      <c r="B50" s="17" t="s">
        <v>6</v>
      </c>
      <c r="C50" s="17" t="s">
        <v>41</v>
      </c>
      <c r="D50" s="17" t="s">
        <v>40</v>
      </c>
      <c r="E50" s="11">
        <v>0</v>
      </c>
      <c r="F50" s="21">
        <f>LOG10(3.23*10^5)</f>
        <v>5.509202522331103</v>
      </c>
    </row>
    <row r="51" spans="1:6" x14ac:dyDescent="0.25">
      <c r="A51" s="27">
        <v>12662</v>
      </c>
      <c r="B51" s="17" t="s">
        <v>6</v>
      </c>
      <c r="C51" s="17" t="s">
        <v>41</v>
      </c>
      <c r="D51" s="17" t="s">
        <v>40</v>
      </c>
      <c r="E51" s="11">
        <v>0.5</v>
      </c>
      <c r="F51" s="21">
        <f>LOG10(2.3*10^4)</f>
        <v>4.3617278360175931</v>
      </c>
    </row>
    <row r="52" spans="1:6" x14ac:dyDescent="0.25">
      <c r="A52" s="27">
        <v>12662</v>
      </c>
      <c r="B52" s="17" t="s">
        <v>6</v>
      </c>
      <c r="C52" s="17" t="s">
        <v>41</v>
      </c>
      <c r="D52" s="17" t="s">
        <v>40</v>
      </c>
      <c r="E52" s="11">
        <v>1</v>
      </c>
      <c r="F52" s="21">
        <f>LOG10(7.7*10^3)</f>
        <v>3.8864907251724818</v>
      </c>
    </row>
    <row r="53" spans="1:6" x14ac:dyDescent="0.25">
      <c r="A53" s="27">
        <v>12662</v>
      </c>
      <c r="B53" s="17" t="s">
        <v>6</v>
      </c>
      <c r="C53" s="17" t="s">
        <v>41</v>
      </c>
      <c r="D53" s="17" t="s">
        <v>40</v>
      </c>
      <c r="E53" s="11">
        <v>2</v>
      </c>
      <c r="F53" s="21">
        <f>LOG10(1.93*10^4)</f>
        <v>4.2855573090077739</v>
      </c>
    </row>
    <row r="54" spans="1:6" x14ac:dyDescent="0.25">
      <c r="A54" s="27">
        <v>12662</v>
      </c>
      <c r="B54" s="17" t="s">
        <v>6</v>
      </c>
      <c r="C54" s="17" t="s">
        <v>41</v>
      </c>
      <c r="D54" s="17" t="s">
        <v>40</v>
      </c>
      <c r="E54" s="11">
        <v>3</v>
      </c>
      <c r="F54" s="21">
        <f>LOG10(8.85*10^3)</f>
        <v>3.9469432706978256</v>
      </c>
    </row>
    <row r="55" spans="1:6" x14ac:dyDescent="0.25">
      <c r="A55" s="27">
        <v>12662</v>
      </c>
      <c r="B55" s="17" t="s">
        <v>6</v>
      </c>
      <c r="C55" s="17" t="s">
        <v>41</v>
      </c>
      <c r="D55" s="17" t="s">
        <v>40</v>
      </c>
      <c r="E55" s="11">
        <v>4</v>
      </c>
      <c r="F55" s="21">
        <f>LOG10(2.15*10^3)</f>
        <v>3.3324384599156054</v>
      </c>
    </row>
    <row r="56" spans="1:6" x14ac:dyDescent="0.25">
      <c r="A56" s="27">
        <v>12662</v>
      </c>
      <c r="B56" s="17" t="s">
        <v>4</v>
      </c>
      <c r="C56" s="17" t="s">
        <v>42</v>
      </c>
      <c r="D56" s="17" t="s">
        <v>40</v>
      </c>
      <c r="E56" s="11">
        <v>0</v>
      </c>
      <c r="F56" s="21">
        <f>LOG10(7.3*10^5)</f>
        <v>5.8633228601204559</v>
      </c>
    </row>
    <row r="57" spans="1:6" x14ac:dyDescent="0.25">
      <c r="A57" s="27">
        <v>12662</v>
      </c>
      <c r="B57" s="17" t="s">
        <v>4</v>
      </c>
      <c r="C57" s="17" t="s">
        <v>42</v>
      </c>
      <c r="D57" s="17" t="s">
        <v>40</v>
      </c>
      <c r="E57" s="11">
        <v>0.5</v>
      </c>
      <c r="F57" s="21">
        <f>LOG10(3*10^3)</f>
        <v>3.4771212547196626</v>
      </c>
    </row>
    <row r="58" spans="1:6" x14ac:dyDescent="0.25">
      <c r="A58" s="27">
        <v>12662</v>
      </c>
      <c r="B58" s="17" t="s">
        <v>4</v>
      </c>
      <c r="C58" s="17" t="s">
        <v>42</v>
      </c>
      <c r="D58" s="17" t="s">
        <v>40</v>
      </c>
      <c r="E58" s="11">
        <v>1</v>
      </c>
      <c r="F58" s="21">
        <f>LOG10(1.73*10^3)</f>
        <v>3.2380461031287955</v>
      </c>
    </row>
    <row r="59" spans="1:6" x14ac:dyDescent="0.25">
      <c r="A59" s="27">
        <v>12662</v>
      </c>
      <c r="B59" s="17" t="s">
        <v>4</v>
      </c>
      <c r="C59" s="17" t="s">
        <v>42</v>
      </c>
      <c r="D59" s="17" t="s">
        <v>40</v>
      </c>
      <c r="E59" s="11">
        <v>2</v>
      </c>
      <c r="F59" s="21">
        <f>LOG10(7.3*10^3)</f>
        <v>3.8633228601204559</v>
      </c>
    </row>
    <row r="60" spans="1:6" x14ac:dyDescent="0.25">
      <c r="A60" s="27">
        <v>12662</v>
      </c>
      <c r="B60" s="17" t="s">
        <v>4</v>
      </c>
      <c r="C60" s="17" t="s">
        <v>42</v>
      </c>
      <c r="D60" s="17" t="s">
        <v>40</v>
      </c>
      <c r="E60" s="11">
        <v>3</v>
      </c>
      <c r="F60" s="21">
        <f>LOG10(8*10^3)</f>
        <v>3.9030899869919438</v>
      </c>
    </row>
    <row r="61" spans="1:6" x14ac:dyDescent="0.25">
      <c r="A61" s="27">
        <v>12662</v>
      </c>
      <c r="B61" s="17" t="s">
        <v>4</v>
      </c>
      <c r="C61" s="17" t="s">
        <v>42</v>
      </c>
      <c r="D61" s="17" t="s">
        <v>40</v>
      </c>
      <c r="E61" s="11">
        <v>4</v>
      </c>
      <c r="F61" s="21">
        <f>LOG10(4.65*10^3)</f>
        <v>3.667452952889954</v>
      </c>
    </row>
    <row r="62" spans="1:6" x14ac:dyDescent="0.25">
      <c r="A62" s="27">
        <v>12662</v>
      </c>
      <c r="B62" s="17" t="s">
        <v>5</v>
      </c>
      <c r="C62" s="17" t="s">
        <v>42</v>
      </c>
      <c r="D62" s="17" t="s">
        <v>40</v>
      </c>
      <c r="E62" s="11">
        <v>0</v>
      </c>
      <c r="F62" s="21">
        <f>LOG10(5*10^5)</f>
        <v>5.6989700043360187</v>
      </c>
    </row>
    <row r="63" spans="1:6" x14ac:dyDescent="0.25">
      <c r="A63" s="27">
        <v>12662</v>
      </c>
      <c r="B63" s="17" t="s">
        <v>5</v>
      </c>
      <c r="C63" s="17" t="s">
        <v>42</v>
      </c>
      <c r="D63" s="17" t="s">
        <v>40</v>
      </c>
      <c r="E63" s="11">
        <v>0.5</v>
      </c>
      <c r="F63" s="21">
        <f>LOG10(2.33*10^3)</f>
        <v>3.3673559210260189</v>
      </c>
    </row>
    <row r="64" spans="1:6" x14ac:dyDescent="0.25">
      <c r="A64" s="27">
        <v>12662</v>
      </c>
      <c r="B64" s="17" t="s">
        <v>5</v>
      </c>
      <c r="C64" s="17" t="s">
        <v>42</v>
      </c>
      <c r="D64" s="17" t="s">
        <v>40</v>
      </c>
      <c r="E64" s="11">
        <v>1</v>
      </c>
      <c r="F64" s="21">
        <f>LOG10(5.7*10^3)</f>
        <v>3.7558748556724915</v>
      </c>
    </row>
    <row r="65" spans="1:6" x14ac:dyDescent="0.25">
      <c r="A65" s="27">
        <v>12662</v>
      </c>
      <c r="B65" s="17" t="s">
        <v>5</v>
      </c>
      <c r="C65" s="17" t="s">
        <v>42</v>
      </c>
      <c r="D65" s="17" t="s">
        <v>40</v>
      </c>
      <c r="E65" s="11">
        <v>2</v>
      </c>
      <c r="F65" s="21">
        <f>LOG10(1.33*10^4)</f>
        <v>4.1238516409670858</v>
      </c>
    </row>
    <row r="66" spans="1:6" x14ac:dyDescent="0.25">
      <c r="A66" s="27">
        <v>12662</v>
      </c>
      <c r="B66" s="17" t="s">
        <v>5</v>
      </c>
      <c r="C66" s="17" t="s">
        <v>42</v>
      </c>
      <c r="D66" s="17" t="s">
        <v>40</v>
      </c>
      <c r="E66" s="11">
        <v>3</v>
      </c>
      <c r="F66" s="21">
        <f>LOG10(9.35*10^3)</f>
        <v>3.9708116108725178</v>
      </c>
    </row>
    <row r="67" spans="1:6" x14ac:dyDescent="0.25">
      <c r="A67" s="27">
        <v>12662</v>
      </c>
      <c r="B67" s="17" t="s">
        <v>5</v>
      </c>
      <c r="C67" s="17" t="s">
        <v>42</v>
      </c>
      <c r="D67" s="17" t="s">
        <v>40</v>
      </c>
      <c r="E67" s="11">
        <v>4</v>
      </c>
      <c r="F67" s="21">
        <f>LOG10(3.5*10^3)</f>
        <v>3.5440680443502757</v>
      </c>
    </row>
    <row r="68" spans="1:6" x14ac:dyDescent="0.25">
      <c r="A68" s="27">
        <v>12662</v>
      </c>
      <c r="B68" s="17" t="s">
        <v>6</v>
      </c>
      <c r="C68" s="17" t="s">
        <v>42</v>
      </c>
      <c r="D68" s="17" t="s">
        <v>40</v>
      </c>
      <c r="E68" s="11">
        <v>0</v>
      </c>
      <c r="F68" s="21">
        <f>LOG10(4.3*10^5)</f>
        <v>5.6334684555795862</v>
      </c>
    </row>
    <row r="69" spans="1:6" x14ac:dyDescent="0.25">
      <c r="A69" s="27">
        <v>12662</v>
      </c>
      <c r="B69" s="17" t="s">
        <v>6</v>
      </c>
      <c r="C69" s="17" t="s">
        <v>42</v>
      </c>
      <c r="D69" s="17" t="s">
        <v>40</v>
      </c>
      <c r="E69" s="11">
        <v>0.5</v>
      </c>
      <c r="F69" s="21">
        <f>LOG10(3.27*10^4)</f>
        <v>4.5145477526602864</v>
      </c>
    </row>
    <row r="70" spans="1:6" x14ac:dyDescent="0.25">
      <c r="A70" s="27">
        <v>12662</v>
      </c>
      <c r="B70" s="17" t="s">
        <v>6</v>
      </c>
      <c r="C70" s="17" t="s">
        <v>42</v>
      </c>
      <c r="D70" s="17" t="s">
        <v>40</v>
      </c>
      <c r="E70" s="11">
        <v>1</v>
      </c>
      <c r="F70" s="21">
        <f>LOG10(1.47*10^3)</f>
        <v>3.167317334748176</v>
      </c>
    </row>
    <row r="71" spans="1:6" x14ac:dyDescent="0.25">
      <c r="A71" s="27">
        <v>12662</v>
      </c>
      <c r="B71" s="17" t="s">
        <v>6</v>
      </c>
      <c r="C71" s="17" t="s">
        <v>42</v>
      </c>
      <c r="D71" s="17" t="s">
        <v>40</v>
      </c>
      <c r="E71" s="11">
        <v>2</v>
      </c>
      <c r="F71" s="21">
        <f>LOG10(1.67*10^3)</f>
        <v>3.2227164711475833</v>
      </c>
    </row>
    <row r="72" spans="1:6" x14ac:dyDescent="0.25">
      <c r="A72" s="27">
        <v>12662</v>
      </c>
      <c r="B72" s="17" t="s">
        <v>6</v>
      </c>
      <c r="C72" s="17" t="s">
        <v>42</v>
      </c>
      <c r="D72" s="17" t="s">
        <v>40</v>
      </c>
      <c r="E72" s="11">
        <v>3</v>
      </c>
      <c r="F72" s="21">
        <f>LOG10(3.85*10^3)</f>
        <v>3.5854607295085006</v>
      </c>
    </row>
    <row r="73" spans="1:6" x14ac:dyDescent="0.25">
      <c r="A73" s="27">
        <v>12662</v>
      </c>
      <c r="B73" s="17" t="s">
        <v>6</v>
      </c>
      <c r="C73" s="17" t="s">
        <v>42</v>
      </c>
      <c r="D73" s="17" t="s">
        <v>40</v>
      </c>
      <c r="E73" s="11">
        <v>4</v>
      </c>
      <c r="F73" s="21">
        <f>LOG10(8*10^2)</f>
        <v>2.9030899869919438</v>
      </c>
    </row>
    <row r="74" spans="1:6" x14ac:dyDescent="0.25">
      <c r="A74" s="27">
        <v>13126</v>
      </c>
      <c r="B74" s="17" t="s">
        <v>4</v>
      </c>
      <c r="C74" s="17" t="s">
        <v>41</v>
      </c>
      <c r="D74" s="17" t="s">
        <v>40</v>
      </c>
      <c r="E74" s="11">
        <v>0</v>
      </c>
      <c r="F74" s="21">
        <f>LOG10(5.5*10^5)</f>
        <v>5.7403626894942441</v>
      </c>
    </row>
    <row r="75" spans="1:6" x14ac:dyDescent="0.25">
      <c r="A75" s="27">
        <v>13126</v>
      </c>
      <c r="B75" s="17" t="s">
        <v>4</v>
      </c>
      <c r="C75" s="17" t="s">
        <v>41</v>
      </c>
      <c r="D75" s="17" t="s">
        <v>40</v>
      </c>
      <c r="E75" s="11">
        <v>0.5</v>
      </c>
      <c r="F75" s="21">
        <f>LOG10(2*10^4)</f>
        <v>4.3010299956639813</v>
      </c>
    </row>
    <row r="76" spans="1:6" x14ac:dyDescent="0.25">
      <c r="A76" s="27">
        <v>13126</v>
      </c>
      <c r="B76" s="17" t="s">
        <v>4</v>
      </c>
      <c r="C76" s="17" t="s">
        <v>41</v>
      </c>
      <c r="D76" s="17" t="s">
        <v>40</v>
      </c>
      <c r="E76" s="11">
        <v>1</v>
      </c>
      <c r="F76" s="21">
        <f>LOG10(3*10^2)</f>
        <v>2.4771212547196626</v>
      </c>
    </row>
    <row r="77" spans="1:6" x14ac:dyDescent="0.25">
      <c r="A77" s="27">
        <v>13126</v>
      </c>
      <c r="B77" s="17" t="s">
        <v>4</v>
      </c>
      <c r="C77" s="17" t="s">
        <v>41</v>
      </c>
      <c r="D77" s="17" t="s">
        <v>40</v>
      </c>
      <c r="E77" s="11">
        <v>2</v>
      </c>
      <c r="F77" s="21">
        <f>LOG10(6.3*10^3)</f>
        <v>3.7993405494535817</v>
      </c>
    </row>
    <row r="78" spans="1:6" x14ac:dyDescent="0.25">
      <c r="A78" s="27">
        <v>13126</v>
      </c>
      <c r="B78" s="17" t="s">
        <v>4</v>
      </c>
      <c r="C78" s="17" t="s">
        <v>41</v>
      </c>
      <c r="D78" s="17" t="s">
        <v>40</v>
      </c>
      <c r="E78" s="11">
        <v>3</v>
      </c>
      <c r="F78" s="21">
        <f>LOG10(1.465*10^3)</f>
        <v>3.1658376246901283</v>
      </c>
    </row>
    <row r="79" spans="1:6" x14ac:dyDescent="0.25">
      <c r="A79" s="27">
        <v>13126</v>
      </c>
      <c r="B79" s="17" t="s">
        <v>4</v>
      </c>
      <c r="C79" s="17" t="s">
        <v>41</v>
      </c>
      <c r="D79" s="17" t="s">
        <v>40</v>
      </c>
      <c r="E79" s="11">
        <v>4</v>
      </c>
      <c r="F79" s="21">
        <f>LOG10(3.5*10^3)</f>
        <v>3.5440680443502757</v>
      </c>
    </row>
    <row r="80" spans="1:6" x14ac:dyDescent="0.25">
      <c r="A80" s="27">
        <v>13126</v>
      </c>
      <c r="B80" s="17" t="s">
        <v>5</v>
      </c>
      <c r="C80" s="17" t="s">
        <v>41</v>
      </c>
      <c r="D80" s="17" t="s">
        <v>40</v>
      </c>
      <c r="E80" s="11">
        <v>0</v>
      </c>
      <c r="F80" s="21">
        <f>LOG10(8.3*10^5)</f>
        <v>5.9190780923760737</v>
      </c>
    </row>
    <row r="81" spans="1:6" x14ac:dyDescent="0.25">
      <c r="A81" s="27">
        <v>13126</v>
      </c>
      <c r="B81" s="17" t="s">
        <v>5</v>
      </c>
      <c r="C81" s="17" t="s">
        <v>41</v>
      </c>
      <c r="D81" s="17" t="s">
        <v>40</v>
      </c>
      <c r="E81" s="11">
        <v>0.5</v>
      </c>
      <c r="F81" s="21">
        <f>LOG10(1.27*10^4)</f>
        <v>4.1038037209559572</v>
      </c>
    </row>
    <row r="82" spans="1:6" x14ac:dyDescent="0.25">
      <c r="A82" s="27">
        <v>13126</v>
      </c>
      <c r="B82" s="17" t="s">
        <v>5</v>
      </c>
      <c r="C82" s="17" t="s">
        <v>41</v>
      </c>
      <c r="D82" s="17" t="s">
        <v>40</v>
      </c>
      <c r="E82" s="11">
        <v>1</v>
      </c>
      <c r="F82" s="21">
        <f>LOG10(2.1*10^3)</f>
        <v>3.3222192947339191</v>
      </c>
    </row>
    <row r="83" spans="1:6" x14ac:dyDescent="0.25">
      <c r="A83" s="27">
        <v>13126</v>
      </c>
      <c r="B83" s="17" t="s">
        <v>5</v>
      </c>
      <c r="C83" s="17" t="s">
        <v>41</v>
      </c>
      <c r="D83" s="17" t="s">
        <v>40</v>
      </c>
      <c r="E83" s="11">
        <v>2</v>
      </c>
      <c r="F83" s="21">
        <f>LOG10(4.3*10^2)</f>
        <v>2.6334684555795866</v>
      </c>
    </row>
    <row r="84" spans="1:6" x14ac:dyDescent="0.25">
      <c r="A84" s="27">
        <v>13126</v>
      </c>
      <c r="B84" s="17" t="s">
        <v>5</v>
      </c>
      <c r="C84" s="17" t="s">
        <v>41</v>
      </c>
      <c r="D84" s="17" t="s">
        <v>40</v>
      </c>
      <c r="E84" s="11">
        <v>3</v>
      </c>
      <c r="F84" s="21">
        <f>LOG10(4*10^2)</f>
        <v>2.6020599913279625</v>
      </c>
    </row>
    <row r="85" spans="1:6" x14ac:dyDescent="0.25">
      <c r="A85" s="27">
        <v>13126</v>
      </c>
      <c r="B85" s="17" t="s">
        <v>5</v>
      </c>
      <c r="C85" s="17" t="s">
        <v>41</v>
      </c>
      <c r="D85" s="17" t="s">
        <v>40</v>
      </c>
      <c r="E85" s="11">
        <v>4</v>
      </c>
      <c r="F85" s="21">
        <f>LOG10(3*10^2)</f>
        <v>2.4771212547196626</v>
      </c>
    </row>
    <row r="86" spans="1:6" x14ac:dyDescent="0.25">
      <c r="A86" s="27">
        <v>13126</v>
      </c>
      <c r="B86" s="17" t="s">
        <v>6</v>
      </c>
      <c r="C86" s="17" t="s">
        <v>41</v>
      </c>
      <c r="D86" s="17" t="s">
        <v>40</v>
      </c>
      <c r="E86" s="11">
        <v>0</v>
      </c>
      <c r="F86" s="21">
        <f>LOG10(8*10^5)</f>
        <v>5.9030899869919438</v>
      </c>
    </row>
    <row r="87" spans="1:6" x14ac:dyDescent="0.25">
      <c r="A87" s="27">
        <v>13126</v>
      </c>
      <c r="B87" s="17" t="s">
        <v>6</v>
      </c>
      <c r="C87" s="17" t="s">
        <v>41</v>
      </c>
      <c r="D87" s="17" t="s">
        <v>40</v>
      </c>
      <c r="E87" s="11">
        <v>0.5</v>
      </c>
      <c r="F87" s="21">
        <f>LOG10(2.07*10^3)</f>
        <v>3.3159703454569178</v>
      </c>
    </row>
    <row r="88" spans="1:6" x14ac:dyDescent="0.25">
      <c r="A88" s="27">
        <v>13126</v>
      </c>
      <c r="B88" s="17" t="s">
        <v>6</v>
      </c>
      <c r="C88" s="17" t="s">
        <v>41</v>
      </c>
      <c r="D88" s="17" t="s">
        <v>40</v>
      </c>
      <c r="E88" s="11">
        <v>1</v>
      </c>
      <c r="F88" s="21">
        <f>LOG10(5*10^3)</f>
        <v>3.6989700043360187</v>
      </c>
    </row>
    <row r="89" spans="1:6" x14ac:dyDescent="0.25">
      <c r="A89" s="27">
        <v>13126</v>
      </c>
      <c r="B89" s="17" t="s">
        <v>6</v>
      </c>
      <c r="C89" s="17" t="s">
        <v>41</v>
      </c>
      <c r="D89" s="17" t="s">
        <v>40</v>
      </c>
      <c r="E89" s="11">
        <v>2</v>
      </c>
      <c r="F89" s="21">
        <f>LOG10(6.7*10^2)</f>
        <v>2.8260748027008264</v>
      </c>
    </row>
    <row r="90" spans="1:6" x14ac:dyDescent="0.25">
      <c r="A90" s="27">
        <v>13126</v>
      </c>
      <c r="B90" s="17" t="s">
        <v>6</v>
      </c>
      <c r="C90" s="17" t="s">
        <v>41</v>
      </c>
      <c r="D90" s="17" t="s">
        <v>40</v>
      </c>
      <c r="E90" s="11">
        <v>3</v>
      </c>
      <c r="F90" s="21">
        <f>LOG10(2.65*10^4)</f>
        <v>4.4232458739368079</v>
      </c>
    </row>
    <row r="91" spans="1:6" x14ac:dyDescent="0.25">
      <c r="A91" s="27">
        <v>13126</v>
      </c>
      <c r="B91" s="17" t="s">
        <v>6</v>
      </c>
      <c r="C91" s="17" t="s">
        <v>41</v>
      </c>
      <c r="D91" s="17" t="s">
        <v>40</v>
      </c>
      <c r="E91" s="11">
        <v>4</v>
      </c>
      <c r="F91" s="21">
        <f>LOG10(5*10^3)</f>
        <v>3.6989700043360187</v>
      </c>
    </row>
    <row r="92" spans="1:6" x14ac:dyDescent="0.25">
      <c r="A92" s="27">
        <v>13126</v>
      </c>
      <c r="B92" s="17" t="s">
        <v>4</v>
      </c>
      <c r="C92" s="17" t="s">
        <v>42</v>
      </c>
      <c r="D92" s="17" t="s">
        <v>40</v>
      </c>
      <c r="E92" s="11">
        <v>0</v>
      </c>
      <c r="F92" s="21">
        <f>LOG10(3.47*10^5)</f>
        <v>5.540329474790874</v>
      </c>
    </row>
    <row r="93" spans="1:6" x14ac:dyDescent="0.25">
      <c r="A93" s="27">
        <v>13126</v>
      </c>
      <c r="B93" s="17" t="s">
        <v>4</v>
      </c>
      <c r="C93" s="17" t="s">
        <v>42</v>
      </c>
      <c r="D93" s="17" t="s">
        <v>40</v>
      </c>
      <c r="E93" s="11">
        <v>0.5</v>
      </c>
      <c r="F93" s="21">
        <f>LOG10(1.17*10^4)</f>
        <v>4.0681858617461613</v>
      </c>
    </row>
    <row r="94" spans="1:6" x14ac:dyDescent="0.25">
      <c r="A94" s="27">
        <v>13126</v>
      </c>
      <c r="B94" s="17" t="s">
        <v>4</v>
      </c>
      <c r="C94" s="17" t="s">
        <v>42</v>
      </c>
      <c r="D94" s="17" t="s">
        <v>40</v>
      </c>
      <c r="E94" s="11">
        <v>1</v>
      </c>
      <c r="F94" s="21">
        <f>LOG10(6*10^3)</f>
        <v>3.7781512503836434</v>
      </c>
    </row>
    <row r="95" spans="1:6" x14ac:dyDescent="0.25">
      <c r="A95" s="27">
        <v>13126</v>
      </c>
      <c r="B95" s="17" t="s">
        <v>4</v>
      </c>
      <c r="C95" s="17" t="s">
        <v>42</v>
      </c>
      <c r="D95" s="17" t="s">
        <v>40</v>
      </c>
      <c r="E95" s="11">
        <v>2</v>
      </c>
      <c r="F95" s="21">
        <f>LOG10(1.13*10^3)</f>
        <v>3.0530784434834195</v>
      </c>
    </row>
    <row r="96" spans="1:6" x14ac:dyDescent="0.25">
      <c r="A96" s="27">
        <v>13126</v>
      </c>
      <c r="B96" s="17" t="s">
        <v>4</v>
      </c>
      <c r="C96" s="17" t="s">
        <v>42</v>
      </c>
      <c r="D96" s="17" t="s">
        <v>40</v>
      </c>
      <c r="E96" s="11">
        <v>3</v>
      </c>
      <c r="F96" s="21">
        <f>LOG10(5*10^3)</f>
        <v>3.6989700043360187</v>
      </c>
    </row>
    <row r="97" spans="1:6" x14ac:dyDescent="0.25">
      <c r="A97" s="27">
        <v>13126</v>
      </c>
      <c r="B97" s="17" t="s">
        <v>4</v>
      </c>
      <c r="C97" s="17" t="s">
        <v>42</v>
      </c>
      <c r="D97" s="17" t="s">
        <v>40</v>
      </c>
      <c r="E97" s="11">
        <v>4</v>
      </c>
      <c r="F97" s="21">
        <v>4</v>
      </c>
    </row>
    <row r="98" spans="1:6" x14ac:dyDescent="0.25">
      <c r="A98" s="27">
        <v>13126</v>
      </c>
      <c r="B98" s="17" t="s">
        <v>5</v>
      </c>
      <c r="C98" s="17" t="s">
        <v>42</v>
      </c>
      <c r="D98" s="17" t="s">
        <v>40</v>
      </c>
      <c r="E98" s="11">
        <v>0</v>
      </c>
      <c r="F98" s="21">
        <f>LOG10(6.7*10^5)</f>
        <v>5.826074802700826</v>
      </c>
    </row>
    <row r="99" spans="1:6" x14ac:dyDescent="0.25">
      <c r="A99" s="27">
        <v>13126</v>
      </c>
      <c r="B99" s="17" t="s">
        <v>5</v>
      </c>
      <c r="C99" s="17" t="s">
        <v>42</v>
      </c>
      <c r="D99" s="17" t="s">
        <v>40</v>
      </c>
      <c r="E99" s="11">
        <v>0.5</v>
      </c>
      <c r="F99" s="21">
        <f>LOG10(5.7*10^3)</f>
        <v>3.7558748556724915</v>
      </c>
    </row>
    <row r="100" spans="1:6" x14ac:dyDescent="0.25">
      <c r="A100" s="27">
        <v>13126</v>
      </c>
      <c r="B100" s="17" t="s">
        <v>5</v>
      </c>
      <c r="C100" s="17" t="s">
        <v>42</v>
      </c>
      <c r="D100" s="17" t="s">
        <v>40</v>
      </c>
      <c r="E100" s="11">
        <v>1</v>
      </c>
      <c r="F100" s="21">
        <f>LOG10(7*10^2)</f>
        <v>2.8450980400142569</v>
      </c>
    </row>
    <row r="101" spans="1:6" x14ac:dyDescent="0.25">
      <c r="A101" s="27">
        <v>13126</v>
      </c>
      <c r="B101" s="17" t="s">
        <v>5</v>
      </c>
      <c r="C101" s="17" t="s">
        <v>42</v>
      </c>
      <c r="D101" s="17" t="s">
        <v>40</v>
      </c>
      <c r="E101" s="11">
        <v>2</v>
      </c>
      <c r="F101" s="21">
        <f>LOG10(2.13*10^3)</f>
        <v>3.3283796034387376</v>
      </c>
    </row>
    <row r="102" spans="1:6" x14ac:dyDescent="0.25">
      <c r="A102" s="27">
        <v>13126</v>
      </c>
      <c r="B102" s="17" t="s">
        <v>5</v>
      </c>
      <c r="C102" s="17" t="s">
        <v>42</v>
      </c>
      <c r="D102" s="17" t="s">
        <v>40</v>
      </c>
      <c r="E102" s="11">
        <v>3</v>
      </c>
      <c r="F102" s="21">
        <f>LOG10(3.5*10^3)</f>
        <v>3.5440680443502757</v>
      </c>
    </row>
    <row r="103" spans="1:6" x14ac:dyDescent="0.25">
      <c r="A103" s="27">
        <v>13126</v>
      </c>
      <c r="B103" s="17" t="s">
        <v>5</v>
      </c>
      <c r="C103" s="17" t="s">
        <v>42</v>
      </c>
      <c r="D103" s="17" t="s">
        <v>40</v>
      </c>
      <c r="E103" s="11">
        <v>4</v>
      </c>
      <c r="F103" s="21">
        <f>LOG10(6.5*10^3)</f>
        <v>3.8129133566428557</v>
      </c>
    </row>
    <row r="104" spans="1:6" x14ac:dyDescent="0.25">
      <c r="A104" s="27">
        <v>13126</v>
      </c>
      <c r="B104" s="17" t="s">
        <v>6</v>
      </c>
      <c r="C104" s="17" t="s">
        <v>42</v>
      </c>
      <c r="D104" s="17" t="s">
        <v>40</v>
      </c>
      <c r="E104" s="11">
        <v>0</v>
      </c>
      <c r="F104" s="21">
        <f>LOG10(6.3*10^5)</f>
        <v>5.7993405494535821</v>
      </c>
    </row>
    <row r="105" spans="1:6" x14ac:dyDescent="0.25">
      <c r="A105" s="27">
        <v>13126</v>
      </c>
      <c r="B105" s="17" t="s">
        <v>6</v>
      </c>
      <c r="C105" s="17" t="s">
        <v>42</v>
      </c>
      <c r="D105" s="17" t="s">
        <v>40</v>
      </c>
      <c r="E105" s="11">
        <v>0.5</v>
      </c>
      <c r="F105" s="21">
        <f>LOG10(2.67*10^4)</f>
        <v>4.426511261364575</v>
      </c>
    </row>
    <row r="106" spans="1:6" x14ac:dyDescent="0.25">
      <c r="A106" s="27">
        <v>13126</v>
      </c>
      <c r="B106" s="17" t="s">
        <v>6</v>
      </c>
      <c r="C106" s="17" t="s">
        <v>42</v>
      </c>
      <c r="D106" s="17" t="s">
        <v>40</v>
      </c>
      <c r="E106" s="11">
        <v>1</v>
      </c>
      <c r="F106" s="21">
        <f>LOG10(1.57*10^4)</f>
        <v>4.195899652409234</v>
      </c>
    </row>
    <row r="107" spans="1:6" x14ac:dyDescent="0.25">
      <c r="A107" s="27">
        <v>13126</v>
      </c>
      <c r="B107" s="17" t="s">
        <v>6</v>
      </c>
      <c r="C107" s="17" t="s">
        <v>42</v>
      </c>
      <c r="D107" s="17" t="s">
        <v>40</v>
      </c>
      <c r="E107" s="11">
        <v>2</v>
      </c>
      <c r="F107" s="21">
        <f>LOG10(1.2*10^3)</f>
        <v>3.0791812460476247</v>
      </c>
    </row>
    <row r="108" spans="1:6" x14ac:dyDescent="0.25">
      <c r="A108" s="27">
        <v>13126</v>
      </c>
      <c r="B108" s="17" t="s">
        <v>6</v>
      </c>
      <c r="C108" s="17" t="s">
        <v>42</v>
      </c>
      <c r="D108" s="17" t="s">
        <v>40</v>
      </c>
      <c r="E108" s="11">
        <v>3</v>
      </c>
      <c r="F108" s="21">
        <f>LOG10(2.35*10^3)</f>
        <v>3.3710678622717363</v>
      </c>
    </row>
    <row r="109" spans="1:6" x14ac:dyDescent="0.25">
      <c r="A109" s="27">
        <v>13126</v>
      </c>
      <c r="B109" s="17" t="s">
        <v>6</v>
      </c>
      <c r="C109" s="17" t="s">
        <v>42</v>
      </c>
      <c r="D109" s="17" t="s">
        <v>40</v>
      </c>
      <c r="E109" s="11">
        <v>4</v>
      </c>
      <c r="F109" s="21">
        <f>LOG10(3.85*10^3)</f>
        <v>3.5854607295085006</v>
      </c>
    </row>
    <row r="110" spans="1:6" x14ac:dyDescent="0.25">
      <c r="A110" s="27">
        <v>13136</v>
      </c>
      <c r="B110" s="17" t="s">
        <v>4</v>
      </c>
      <c r="C110" s="17" t="s">
        <v>41</v>
      </c>
      <c r="D110" s="17" t="s">
        <v>40</v>
      </c>
      <c r="E110" s="11">
        <v>0</v>
      </c>
      <c r="F110" s="21">
        <f>LOG10(2*10^5)</f>
        <v>5.3010299956639813</v>
      </c>
    </row>
    <row r="111" spans="1:6" x14ac:dyDescent="0.25">
      <c r="A111" s="27">
        <v>13136</v>
      </c>
      <c r="B111" s="17" t="s">
        <v>4</v>
      </c>
      <c r="C111" s="17" t="s">
        <v>41</v>
      </c>
      <c r="D111" s="17" t="s">
        <v>40</v>
      </c>
      <c r="E111" s="11">
        <v>0.5</v>
      </c>
      <c r="F111" s="21">
        <f>LOG10(6.3*10^3)</f>
        <v>3.7993405494535817</v>
      </c>
    </row>
    <row r="112" spans="1:6" x14ac:dyDescent="0.25">
      <c r="A112" s="27">
        <v>13136</v>
      </c>
      <c r="B112" s="17" t="s">
        <v>4</v>
      </c>
      <c r="C112" s="17" t="s">
        <v>41</v>
      </c>
      <c r="D112" s="17" t="s">
        <v>40</v>
      </c>
      <c r="E112" s="11">
        <v>1</v>
      </c>
      <c r="F112" s="21">
        <f>LOG10(2*10^3)</f>
        <v>3.3010299956639813</v>
      </c>
    </row>
    <row r="113" spans="1:6" x14ac:dyDescent="0.25">
      <c r="A113" s="27">
        <v>13136</v>
      </c>
      <c r="B113" s="17" t="s">
        <v>4</v>
      </c>
      <c r="C113" s="17" t="s">
        <v>41</v>
      </c>
      <c r="D113" s="17" t="s">
        <v>40</v>
      </c>
      <c r="E113" s="11">
        <v>2</v>
      </c>
      <c r="F113" s="21">
        <f>LOG10(2.27*10^3)</f>
        <v>3.3560258571931225</v>
      </c>
    </row>
    <row r="114" spans="1:6" x14ac:dyDescent="0.25">
      <c r="A114" s="27">
        <v>13136</v>
      </c>
      <c r="B114" s="17" t="s">
        <v>4</v>
      </c>
      <c r="C114" s="17" t="s">
        <v>41</v>
      </c>
      <c r="D114" s="17" t="s">
        <v>40</v>
      </c>
      <c r="E114" s="11">
        <v>3</v>
      </c>
      <c r="F114" s="21">
        <f>LOG10(4.5*10^3)</f>
        <v>3.6532125137753435</v>
      </c>
    </row>
    <row r="115" spans="1:6" x14ac:dyDescent="0.25">
      <c r="A115" s="27">
        <v>13136</v>
      </c>
      <c r="B115" s="17" t="s">
        <v>4</v>
      </c>
      <c r="C115" s="17" t="s">
        <v>41</v>
      </c>
      <c r="D115" s="17" t="s">
        <v>40</v>
      </c>
      <c r="E115" s="11">
        <v>4</v>
      </c>
      <c r="F115" s="21">
        <f>LOG10(4.5*10^3)</f>
        <v>3.6532125137753435</v>
      </c>
    </row>
    <row r="116" spans="1:6" x14ac:dyDescent="0.25">
      <c r="A116" s="27">
        <v>13136</v>
      </c>
      <c r="B116" s="17" t="s">
        <v>5</v>
      </c>
      <c r="C116" s="17" t="s">
        <v>41</v>
      </c>
      <c r="D116" s="17" t="s">
        <v>40</v>
      </c>
      <c r="E116" s="11">
        <v>0</v>
      </c>
      <c r="F116" s="21">
        <f>LOG10(4*10^5)</f>
        <v>5.6020599913279625</v>
      </c>
    </row>
    <row r="117" spans="1:6" x14ac:dyDescent="0.25">
      <c r="A117" s="27">
        <v>13136</v>
      </c>
      <c r="B117" s="17" t="s">
        <v>5</v>
      </c>
      <c r="C117" s="17" t="s">
        <v>41</v>
      </c>
      <c r="D117" s="17" t="s">
        <v>40</v>
      </c>
      <c r="E117" s="11">
        <v>0.5</v>
      </c>
      <c r="F117" s="21">
        <f>LOG10(5*10^3)</f>
        <v>3.6989700043360187</v>
      </c>
    </row>
    <row r="118" spans="1:6" x14ac:dyDescent="0.25">
      <c r="A118" s="27">
        <v>13136</v>
      </c>
      <c r="B118" s="17" t="s">
        <v>5</v>
      </c>
      <c r="C118" s="17" t="s">
        <v>41</v>
      </c>
      <c r="D118" s="17" t="s">
        <v>40</v>
      </c>
      <c r="E118" s="11">
        <v>1</v>
      </c>
      <c r="F118" s="21">
        <f>LOG10(1.07*10^4)</f>
        <v>4.0293837776852097</v>
      </c>
    </row>
    <row r="119" spans="1:6" x14ac:dyDescent="0.25">
      <c r="A119" s="27">
        <v>13136</v>
      </c>
      <c r="B119" s="17" t="s">
        <v>5</v>
      </c>
      <c r="C119" s="17" t="s">
        <v>41</v>
      </c>
      <c r="D119" s="17" t="s">
        <v>40</v>
      </c>
      <c r="E119" s="11">
        <v>2</v>
      </c>
      <c r="F119" s="21">
        <f>LOG10(4.7*10^3)</f>
        <v>3.6720978579357175</v>
      </c>
    </row>
    <row r="120" spans="1:6" x14ac:dyDescent="0.25">
      <c r="A120" s="27">
        <v>13136</v>
      </c>
      <c r="B120" s="17" t="s">
        <v>5</v>
      </c>
      <c r="C120" s="17" t="s">
        <v>41</v>
      </c>
      <c r="D120" s="17" t="s">
        <v>40</v>
      </c>
      <c r="E120" s="11">
        <v>3</v>
      </c>
      <c r="F120" s="21">
        <f>LOG10(3.35*10^3)</f>
        <v>3.5250448070368452</v>
      </c>
    </row>
    <row r="121" spans="1:6" x14ac:dyDescent="0.25">
      <c r="A121" s="27">
        <v>13136</v>
      </c>
      <c r="B121" s="17" t="s">
        <v>5</v>
      </c>
      <c r="C121" s="17" t="s">
        <v>41</v>
      </c>
      <c r="D121" s="17" t="s">
        <v>40</v>
      </c>
      <c r="E121" s="11">
        <v>4</v>
      </c>
      <c r="F121" s="21">
        <f>LOG10(6.15*10^2)</f>
        <v>2.7888751157754168</v>
      </c>
    </row>
    <row r="122" spans="1:6" x14ac:dyDescent="0.25">
      <c r="A122" s="27">
        <v>13136</v>
      </c>
      <c r="B122" s="17" t="s">
        <v>6</v>
      </c>
      <c r="C122" s="17" t="s">
        <v>41</v>
      </c>
      <c r="D122" s="17" t="s">
        <v>40</v>
      </c>
      <c r="E122" s="11">
        <v>0</v>
      </c>
      <c r="F122" s="21">
        <f>LOG10(2.7*10^5)</f>
        <v>5.4313637641589869</v>
      </c>
    </row>
    <row r="123" spans="1:6" x14ac:dyDescent="0.25">
      <c r="A123" s="27">
        <v>13136</v>
      </c>
      <c r="B123" s="17" t="s">
        <v>6</v>
      </c>
      <c r="C123" s="17" t="s">
        <v>41</v>
      </c>
      <c r="D123" s="17" t="s">
        <v>40</v>
      </c>
      <c r="E123" s="11">
        <v>0.5</v>
      </c>
      <c r="F123" s="21">
        <f>LOG10(6.7*10^3)</f>
        <v>3.8260748027008264</v>
      </c>
    </row>
    <row r="124" spans="1:6" x14ac:dyDescent="0.25">
      <c r="A124" s="27">
        <v>13136</v>
      </c>
      <c r="B124" s="17" t="s">
        <v>6</v>
      </c>
      <c r="C124" s="17" t="s">
        <v>41</v>
      </c>
      <c r="D124" s="17" t="s">
        <v>40</v>
      </c>
      <c r="E124" s="11">
        <v>1</v>
      </c>
      <c r="F124" s="21">
        <f>LOG10(3.7*10^3)</f>
        <v>3.568201724066995</v>
      </c>
    </row>
    <row r="125" spans="1:6" x14ac:dyDescent="0.25">
      <c r="A125" s="27">
        <v>13136</v>
      </c>
      <c r="B125" s="17" t="s">
        <v>6</v>
      </c>
      <c r="C125" s="17" t="s">
        <v>41</v>
      </c>
      <c r="D125" s="17" t="s">
        <v>40</v>
      </c>
      <c r="E125" s="11">
        <v>2</v>
      </c>
      <c r="F125" s="21">
        <f>LOG10(2*10^3)</f>
        <v>3.3010299956639813</v>
      </c>
    </row>
    <row r="126" spans="1:6" x14ac:dyDescent="0.25">
      <c r="A126" s="27">
        <v>13136</v>
      </c>
      <c r="B126" s="17" t="s">
        <v>6</v>
      </c>
      <c r="C126" s="17" t="s">
        <v>41</v>
      </c>
      <c r="D126" s="17" t="s">
        <v>40</v>
      </c>
      <c r="E126" s="11">
        <v>3</v>
      </c>
      <c r="F126" s="21">
        <f>LOG10(8.15*10^2)</f>
        <v>2.9111576087399764</v>
      </c>
    </row>
    <row r="127" spans="1:6" x14ac:dyDescent="0.25">
      <c r="A127" s="27">
        <v>13136</v>
      </c>
      <c r="B127" s="17" t="s">
        <v>6</v>
      </c>
      <c r="C127" s="17" t="s">
        <v>41</v>
      </c>
      <c r="D127" s="17" t="s">
        <v>40</v>
      </c>
      <c r="E127" s="11">
        <v>4</v>
      </c>
      <c r="F127" s="21">
        <f>LOG10(6*10^2)</f>
        <v>2.7781512503836434</v>
      </c>
    </row>
    <row r="128" spans="1:6" x14ac:dyDescent="0.25">
      <c r="A128" s="27">
        <v>13136</v>
      </c>
      <c r="B128" s="17" t="s">
        <v>4</v>
      </c>
      <c r="C128" s="17" t="s">
        <v>42</v>
      </c>
      <c r="D128" s="17" t="s">
        <v>40</v>
      </c>
      <c r="E128" s="11">
        <v>0</v>
      </c>
      <c r="F128" s="21">
        <f>LOG10(2.7*10^5)</f>
        <v>5.4313637641589869</v>
      </c>
    </row>
    <row r="129" spans="1:6" x14ac:dyDescent="0.25">
      <c r="A129" s="27">
        <v>13136</v>
      </c>
      <c r="B129" s="17" t="s">
        <v>4</v>
      </c>
      <c r="C129" s="17" t="s">
        <v>42</v>
      </c>
      <c r="D129" s="17" t="s">
        <v>40</v>
      </c>
      <c r="E129" s="11">
        <v>0.5</v>
      </c>
      <c r="F129" s="21">
        <f>LOG10(4*10^4)</f>
        <v>4.6020599913279625</v>
      </c>
    </row>
    <row r="130" spans="1:6" x14ac:dyDescent="0.25">
      <c r="A130" s="27">
        <v>13136</v>
      </c>
      <c r="B130" s="17" t="s">
        <v>4</v>
      </c>
      <c r="C130" s="17" t="s">
        <v>42</v>
      </c>
      <c r="D130" s="17" t="s">
        <v>40</v>
      </c>
      <c r="E130" s="11">
        <v>1</v>
      </c>
      <c r="F130" s="21">
        <f>LOG10(7*10^3)</f>
        <v>3.8450980400142569</v>
      </c>
    </row>
    <row r="131" spans="1:6" x14ac:dyDescent="0.25">
      <c r="A131" s="27">
        <v>13136</v>
      </c>
      <c r="B131" s="17" t="s">
        <v>4</v>
      </c>
      <c r="C131" s="17" t="s">
        <v>42</v>
      </c>
      <c r="D131" s="17" t="s">
        <v>40</v>
      </c>
      <c r="E131" s="11">
        <v>2</v>
      </c>
      <c r="F131" s="21">
        <f>LOG10(9.3*10^3)</f>
        <v>3.9684829485539352</v>
      </c>
    </row>
    <row r="132" spans="1:6" x14ac:dyDescent="0.25">
      <c r="A132" s="27">
        <v>13136</v>
      </c>
      <c r="B132" s="17" t="s">
        <v>4</v>
      </c>
      <c r="C132" s="17" t="s">
        <v>42</v>
      </c>
      <c r="D132" s="17" t="s">
        <v>40</v>
      </c>
      <c r="E132" s="11">
        <v>3</v>
      </c>
      <c r="F132" s="21">
        <f>LOG10(2.85*10^3)</f>
        <v>3.4548448600085102</v>
      </c>
    </row>
    <row r="133" spans="1:6" x14ac:dyDescent="0.25">
      <c r="A133" s="27">
        <v>13136</v>
      </c>
      <c r="B133" s="17" t="s">
        <v>4</v>
      </c>
      <c r="C133" s="17" t="s">
        <v>42</v>
      </c>
      <c r="D133" s="17" t="s">
        <v>40</v>
      </c>
      <c r="E133" s="11">
        <v>4</v>
      </c>
      <c r="F133" s="21">
        <f>LOG10(1.85*10^3)</f>
        <v>3.2671717284030137</v>
      </c>
    </row>
    <row r="134" spans="1:6" x14ac:dyDescent="0.25">
      <c r="A134" s="27">
        <v>13136</v>
      </c>
      <c r="B134" s="17" t="s">
        <v>5</v>
      </c>
      <c r="C134" s="17" t="s">
        <v>42</v>
      </c>
      <c r="D134" s="17" t="s">
        <v>40</v>
      </c>
      <c r="E134" s="11">
        <v>0</v>
      </c>
      <c r="F134" s="21">
        <f>LOG10(1.9*10^5)</f>
        <v>5.2787536009528289</v>
      </c>
    </row>
    <row r="135" spans="1:6" x14ac:dyDescent="0.25">
      <c r="A135" s="27">
        <v>13136</v>
      </c>
      <c r="B135" s="17" t="s">
        <v>5</v>
      </c>
      <c r="C135" s="17" t="s">
        <v>42</v>
      </c>
      <c r="D135" s="17" t="s">
        <v>40</v>
      </c>
      <c r="E135" s="11">
        <v>0.5</v>
      </c>
      <c r="F135" s="21">
        <f>LOG10(9*10^3)</f>
        <v>3.9542425094393248</v>
      </c>
    </row>
    <row r="136" spans="1:6" x14ac:dyDescent="0.25">
      <c r="A136" s="27">
        <v>13136</v>
      </c>
      <c r="B136" s="17" t="s">
        <v>5</v>
      </c>
      <c r="C136" s="17" t="s">
        <v>42</v>
      </c>
      <c r="D136" s="17" t="s">
        <v>40</v>
      </c>
      <c r="E136" s="11">
        <v>1</v>
      </c>
      <c r="F136" s="21">
        <f>LOG10(9*10^3)</f>
        <v>3.9542425094393248</v>
      </c>
    </row>
    <row r="137" spans="1:6" x14ac:dyDescent="0.25">
      <c r="A137" s="27">
        <v>13136</v>
      </c>
      <c r="B137" s="17" t="s">
        <v>5</v>
      </c>
      <c r="C137" s="17" t="s">
        <v>42</v>
      </c>
      <c r="D137" s="17" t="s">
        <v>40</v>
      </c>
      <c r="E137" s="11">
        <v>2</v>
      </c>
      <c r="F137" s="21">
        <f>LOG10(3.3*10^3)</f>
        <v>3.5185139398778875</v>
      </c>
    </row>
    <row r="138" spans="1:6" x14ac:dyDescent="0.25">
      <c r="A138" s="27">
        <v>13136</v>
      </c>
      <c r="B138" s="17" t="s">
        <v>5</v>
      </c>
      <c r="C138" s="17" t="s">
        <v>42</v>
      </c>
      <c r="D138" s="17" t="s">
        <v>40</v>
      </c>
      <c r="E138" s="11">
        <v>3</v>
      </c>
      <c r="F138" s="21">
        <f>LOG10(1.65*10^3)</f>
        <v>3.2174839442139063</v>
      </c>
    </row>
    <row r="139" spans="1:6" x14ac:dyDescent="0.25">
      <c r="A139" s="27">
        <v>13136</v>
      </c>
      <c r="B139" s="17" t="s">
        <v>5</v>
      </c>
      <c r="C139" s="17" t="s">
        <v>42</v>
      </c>
      <c r="D139" s="17" t="s">
        <v>40</v>
      </c>
      <c r="E139" s="11">
        <v>4</v>
      </c>
      <c r="F139" s="21">
        <f>LOG10(1.5*10^3)</f>
        <v>3.1760912590556813</v>
      </c>
    </row>
    <row r="140" spans="1:6" x14ac:dyDescent="0.25">
      <c r="A140" s="27">
        <v>13136</v>
      </c>
      <c r="B140" s="17" t="s">
        <v>6</v>
      </c>
      <c r="C140" s="17" t="s">
        <v>42</v>
      </c>
      <c r="D140" s="17" t="s">
        <v>40</v>
      </c>
      <c r="E140" s="11">
        <v>0</v>
      </c>
      <c r="F140" s="21">
        <f>LOG10(9.3*10^4)</f>
        <v>4.9684829485539348</v>
      </c>
    </row>
    <row r="141" spans="1:6" x14ac:dyDescent="0.25">
      <c r="A141" s="27">
        <v>13136</v>
      </c>
      <c r="B141" s="17" t="s">
        <v>6</v>
      </c>
      <c r="C141" s="17" t="s">
        <v>42</v>
      </c>
      <c r="D141" s="17" t="s">
        <v>40</v>
      </c>
      <c r="E141" s="11">
        <v>0.5</v>
      </c>
      <c r="F141" s="21">
        <f>LOG10(6*10^3)</f>
        <v>3.7781512503836434</v>
      </c>
    </row>
    <row r="142" spans="1:6" x14ac:dyDescent="0.25">
      <c r="A142" s="27">
        <v>13136</v>
      </c>
      <c r="B142" s="17" t="s">
        <v>6</v>
      </c>
      <c r="C142" s="17" t="s">
        <v>42</v>
      </c>
      <c r="D142" s="17" t="s">
        <v>40</v>
      </c>
      <c r="E142" s="11">
        <v>1</v>
      </c>
      <c r="F142" s="21">
        <f>LOG10(2.3*10^3)</f>
        <v>3.3617278360175931</v>
      </c>
    </row>
    <row r="143" spans="1:6" x14ac:dyDescent="0.25">
      <c r="A143" s="27">
        <v>13136</v>
      </c>
      <c r="B143" s="17" t="s">
        <v>6</v>
      </c>
      <c r="C143" s="17" t="s">
        <v>42</v>
      </c>
      <c r="D143" s="17" t="s">
        <v>40</v>
      </c>
      <c r="E143" s="11">
        <v>2</v>
      </c>
      <c r="F143" s="21">
        <f>LOG10(6.3*10^2)</f>
        <v>2.7993405494535817</v>
      </c>
    </row>
    <row r="144" spans="1:6" x14ac:dyDescent="0.25">
      <c r="A144" s="27">
        <v>13136</v>
      </c>
      <c r="B144" s="17" t="s">
        <v>6</v>
      </c>
      <c r="C144" s="17" t="s">
        <v>42</v>
      </c>
      <c r="D144" s="17" t="s">
        <v>40</v>
      </c>
      <c r="E144" s="11">
        <v>3</v>
      </c>
      <c r="F144" s="21">
        <f>LOG10(2*10^3)</f>
        <v>3.3010299956639813</v>
      </c>
    </row>
    <row r="145" spans="1:6" x14ac:dyDescent="0.25">
      <c r="A145" s="27">
        <v>13136</v>
      </c>
      <c r="B145" s="17" t="s">
        <v>6</v>
      </c>
      <c r="C145" s="17" t="s">
        <v>42</v>
      </c>
      <c r="D145" s="17" t="s">
        <v>40</v>
      </c>
      <c r="E145" s="11">
        <v>4</v>
      </c>
      <c r="F145" s="21">
        <f>LOG10(1.15*10^3)</f>
        <v>3.0606978403536118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topLeftCell="C1"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3.285156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5.7403626894942441</v>
      </c>
      <c r="C2" s="11">
        <f t="shared" ref="C2:C19" si="0" xml:space="preserve"> LOG((10^$G$5 - 10^$G$4) * EXP(-$G$3 *A2 )  + 10^$G$4)</f>
        <v>5.8563823555410757</v>
      </c>
      <c r="D2" s="11">
        <f t="shared" ref="D2:D19" si="1" xml:space="preserve"> (B2 - C2)^2</f>
        <v>1.346056290961832E-2</v>
      </c>
      <c r="E2" s="5"/>
      <c r="F2" s="5"/>
      <c r="G2" s="22"/>
      <c r="H2" s="22"/>
      <c r="I2" s="5"/>
      <c r="J2" s="5"/>
      <c r="K2" s="5"/>
      <c r="L2" s="6" t="s">
        <v>20</v>
      </c>
      <c r="M2" s="22">
        <v>0.32757696596725905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4.3010299956639813</v>
      </c>
      <c r="C3" s="11">
        <f t="shared" si="0"/>
        <v>3.9013785012894249</v>
      </c>
      <c r="D3" s="11">
        <f t="shared" si="1"/>
        <v>0.15972131695581607</v>
      </c>
      <c r="E3" s="5"/>
      <c r="F3" s="20" t="s">
        <v>13</v>
      </c>
      <c r="G3" s="26">
        <v>9.4651243953972166</v>
      </c>
      <c r="H3" s="26">
        <v>2.4630016733493014</v>
      </c>
      <c r="I3" s="5"/>
      <c r="J3" s="5"/>
      <c r="K3" s="5"/>
      <c r="L3" s="6" t="s">
        <v>23</v>
      </c>
      <c r="M3" s="22">
        <f>SQRT(M2)</f>
        <v>0.57234339864041328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2.4771212547196626</v>
      </c>
      <c r="C4" s="11">
        <f t="shared" si="0"/>
        <v>3.2339462103341119</v>
      </c>
      <c r="D4" s="11">
        <f t="shared" si="1"/>
        <v>0.57278401344081309</v>
      </c>
      <c r="E4" s="5"/>
      <c r="F4" s="20" t="s">
        <v>30</v>
      </c>
      <c r="G4" s="26">
        <v>3.2196341555694237</v>
      </c>
      <c r="H4" s="26">
        <v>0.16739677674614406</v>
      </c>
      <c r="I4" s="5"/>
      <c r="J4" s="5"/>
      <c r="K4" s="5"/>
      <c r="L4" s="6" t="s">
        <v>21</v>
      </c>
      <c r="M4" s="22">
        <v>0.77245416772582609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3.7993405494535817</v>
      </c>
      <c r="C5" s="11">
        <f t="shared" si="0"/>
        <v>3.2196352833531132</v>
      </c>
      <c r="D5" s="11">
        <f t="shared" si="1"/>
        <v>0.33605819554461497</v>
      </c>
      <c r="E5" s="5"/>
      <c r="F5" s="20" t="s">
        <v>14</v>
      </c>
      <c r="G5" s="26">
        <v>5.8563823555410748</v>
      </c>
      <c r="H5" s="26">
        <v>0.33030934834436432</v>
      </c>
      <c r="I5" s="5"/>
      <c r="J5" s="5"/>
      <c r="K5" s="5"/>
      <c r="L5" s="6" t="s">
        <v>22</v>
      </c>
      <c r="M5" s="22">
        <v>0.74211472342260287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3.1658376246901283</v>
      </c>
      <c r="C6" s="11">
        <f t="shared" si="0"/>
        <v>3.2196341556568369</v>
      </c>
      <c r="D6" s="11">
        <f t="shared" si="1"/>
        <v>2.8940667440520325E-3</v>
      </c>
      <c r="E6" s="5"/>
      <c r="F6" s="5"/>
      <c r="G6" s="22"/>
      <c r="H6" s="22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3.5440680443502757</v>
      </c>
      <c r="C7" s="11">
        <f t="shared" si="0"/>
        <v>3.2196341555694308</v>
      </c>
      <c r="D7" s="11">
        <f t="shared" si="1"/>
        <v>0.10525734818946163</v>
      </c>
      <c r="E7" s="5"/>
      <c r="F7" s="4" t="s">
        <v>24</v>
      </c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5.9190780923760737</v>
      </c>
      <c r="C8" s="11">
        <f t="shared" si="0"/>
        <v>5.8563823555410757</v>
      </c>
      <c r="D8" s="11">
        <f t="shared" si="1"/>
        <v>3.9307554172833339E-3</v>
      </c>
      <c r="E8" s="5"/>
      <c r="F8" s="5" t="s">
        <v>31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4.1038037209559572</v>
      </c>
      <c r="C9" s="11">
        <f t="shared" si="0"/>
        <v>3.9013785012894249</v>
      </c>
      <c r="D9" s="11">
        <f t="shared" si="1"/>
        <v>4.0975969557043884E-2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3.3222192947339191</v>
      </c>
      <c r="C10" s="11">
        <f t="shared" si="0"/>
        <v>3.2339462103341119</v>
      </c>
      <c r="D10" s="11">
        <f t="shared" si="1"/>
        <v>7.7921374294554835E-3</v>
      </c>
      <c r="E10" s="5"/>
      <c r="F10" s="5" t="s">
        <v>32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2.6334684555795866</v>
      </c>
      <c r="C11" s="11">
        <f t="shared" si="0"/>
        <v>3.2196352833531132</v>
      </c>
      <c r="D11" s="11">
        <f t="shared" si="1"/>
        <v>0.34359154998207919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2.6020599913279625</v>
      </c>
      <c r="C12" s="11">
        <f t="shared" si="0"/>
        <v>3.2196341556568369</v>
      </c>
      <c r="D12" s="11">
        <f t="shared" si="1"/>
        <v>0.38139784844650748</v>
      </c>
      <c r="E12" s="5"/>
      <c r="F12" s="29" t="s">
        <v>27</v>
      </c>
      <c r="G12" s="30"/>
      <c r="H12" s="30"/>
      <c r="I12" s="30"/>
      <c r="J12" s="30"/>
      <c r="K12" s="30"/>
      <c r="L12" s="30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2.4771212547196626</v>
      </c>
      <c r="C13" s="11">
        <f t="shared" si="0"/>
        <v>3.2196341555694308</v>
      </c>
      <c r="D13" s="11">
        <f t="shared" si="1"/>
        <v>0.55132540792833762</v>
      </c>
      <c r="E13" s="5"/>
      <c r="F13" s="30"/>
      <c r="G13" s="30"/>
      <c r="H13" s="30"/>
      <c r="I13" s="30"/>
      <c r="J13" s="30"/>
      <c r="K13" s="30"/>
      <c r="L13" s="30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5.9030899869919438</v>
      </c>
      <c r="C14" s="11">
        <f t="shared" si="0"/>
        <v>5.8563823555410757</v>
      </c>
      <c r="D14" s="11">
        <f t="shared" si="1"/>
        <v>2.1816028357501223E-3</v>
      </c>
      <c r="E14" s="5"/>
      <c r="F14" s="30"/>
      <c r="G14" s="30"/>
      <c r="H14" s="30"/>
      <c r="I14" s="30"/>
      <c r="J14" s="30"/>
      <c r="K14" s="30"/>
      <c r="L14" s="30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3.3159703454569178</v>
      </c>
      <c r="C15" s="11">
        <f t="shared" si="0"/>
        <v>3.9013785012894249</v>
      </c>
      <c r="D15" s="11">
        <f t="shared" si="1"/>
        <v>0.34270270891521687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3.6989700043360187</v>
      </c>
      <c r="C16" s="11">
        <f t="shared" si="0"/>
        <v>3.2339462103341119</v>
      </c>
      <c r="D16" s="11">
        <f t="shared" si="1"/>
        <v>0.21624712898792789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2.8260748027008264</v>
      </c>
      <c r="C17" s="11">
        <f t="shared" si="0"/>
        <v>3.2196352833531132</v>
      </c>
      <c r="D17" s="11">
        <f t="shared" si="1"/>
        <v>0.15488985193125898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4.4232458739368079</v>
      </c>
      <c r="C18" s="11">
        <f t="shared" si="0"/>
        <v>3.2196341556568369</v>
      </c>
      <c r="D18" s="11">
        <f t="shared" si="1"/>
        <v>1.4486811683808645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3.6989700043360187</v>
      </c>
      <c r="C19" s="11">
        <f t="shared" si="0"/>
        <v>3.2196341555694308</v>
      </c>
      <c r="D19" s="11">
        <f t="shared" si="1"/>
        <v>0.22976285591278528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4.9136544895088861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 xml:space="preserve"> LOG((10^$G$5 - 10^$G$4) * EXP(-$G$3 *A23 )  + 10^$G$4)</f>
        <v>5.8563823555410757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0.04</v>
      </c>
      <c r="B24" s="21"/>
      <c r="C24" s="21">
        <f t="shared" ref="C24:C87" si="2" xml:space="preserve"> LOG((10^$G$5 - 10^$G$4) * EXP(-$G$3 *A24 )  + 10^$G$4)</f>
        <v>5.6924174042809632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0.08</v>
      </c>
      <c r="B25" s="21"/>
      <c r="C25" s="21">
        <f t="shared" si="2"/>
        <v>5.5286637945775112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0.12</v>
      </c>
      <c r="B26" s="21"/>
      <c r="C26" s="21">
        <f t="shared" si="2"/>
        <v>5.3652178072515539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0.16</v>
      </c>
      <c r="B27" s="21"/>
      <c r="C27" s="21">
        <f t="shared" si="2"/>
        <v>5.2022189296270946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0.2</v>
      </c>
      <c r="B28" s="21"/>
      <c r="C28" s="21">
        <f t="shared" si="2"/>
        <v>5.0398685148502489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0.24000000000000002</v>
      </c>
      <c r="B29" s="21"/>
      <c r="C29" s="21">
        <f t="shared" si="2"/>
        <v>4.8784556950390714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0.28000000000000003</v>
      </c>
      <c r="B30" s="21"/>
      <c r="C30" s="21">
        <f t="shared" si="2"/>
        <v>4.7183924866835047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0.32</v>
      </c>
      <c r="B31" s="21"/>
      <c r="C31" s="21">
        <f t="shared" si="2"/>
        <v>4.5602595507574906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0.36</v>
      </c>
      <c r="B32" s="21"/>
      <c r="C32" s="21">
        <f t="shared" si="2"/>
        <v>4.4048622324652449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0.39999999999999997</v>
      </c>
      <c r="B33" s="21"/>
      <c r="C33" s="21">
        <f t="shared" si="2"/>
        <v>4.2532920820861069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0.43999999999999995</v>
      </c>
      <c r="B34" s="21"/>
      <c r="C34" s="21">
        <f t="shared" si="2"/>
        <v>4.1069805878511954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0.47999999999999993</v>
      </c>
      <c r="B35" s="21"/>
      <c r="C35" s="21">
        <f t="shared" si="2"/>
        <v>3.9677188489672197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0.51999999999999991</v>
      </c>
      <c r="B36" s="21"/>
      <c r="C36" s="21">
        <f t="shared" si="2"/>
        <v>3.8376028786709697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0.55999999999999994</v>
      </c>
      <c r="B37" s="21"/>
      <c r="C37" s="21">
        <f t="shared" si="2"/>
        <v>3.7188607628649435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0.6</v>
      </c>
      <c r="B38" s="21"/>
      <c r="C38" s="21">
        <f t="shared" si="2"/>
        <v>3.6135442893574168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0.64</v>
      </c>
      <c r="B39" s="21"/>
      <c r="C39" s="21">
        <f t="shared" si="2"/>
        <v>3.5231350523935019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0.68</v>
      </c>
      <c r="B40" s="21"/>
      <c r="C40" s="21">
        <f t="shared" si="2"/>
        <v>3.4481963833705622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0.72000000000000008</v>
      </c>
      <c r="B41" s="21"/>
      <c r="C41" s="21">
        <f t="shared" si="2"/>
        <v>3.3882272904556494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0.76000000000000012</v>
      </c>
      <c r="B42" s="21"/>
      <c r="C42" s="21">
        <f t="shared" si="2"/>
        <v>3.3417927246263512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0.80000000000000016</v>
      </c>
      <c r="B43" s="21"/>
      <c r="C43" s="21">
        <f t="shared" si="2"/>
        <v>3.3068636602760333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0.84000000000000019</v>
      </c>
      <c r="B44" s="21"/>
      <c r="C44" s="21">
        <f t="shared" si="2"/>
        <v>3.2812126266501798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0.88000000000000023</v>
      </c>
      <c r="B45" s="21"/>
      <c r="C45" s="21">
        <f t="shared" si="2"/>
        <v>3.2627294648491754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0.92000000000000026</v>
      </c>
      <c r="B46" s="21"/>
      <c r="C46" s="21">
        <f t="shared" si="2"/>
        <v>3.249602279111993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0.9600000000000003</v>
      </c>
      <c r="B47" s="21"/>
      <c r="C47" s="21">
        <f t="shared" si="2"/>
        <v>3.2403780591498119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1.0000000000000002</v>
      </c>
      <c r="B48" s="21"/>
      <c r="C48" s="21">
        <f t="shared" si="2"/>
        <v>3.2339462103341119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1.0400000000000003</v>
      </c>
      <c r="B49" s="21"/>
      <c r="C49" s="21">
        <f t="shared" si="2"/>
        <v>3.2294859739240214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1.0800000000000003</v>
      </c>
      <c r="B50" s="21"/>
      <c r="C50" s="21">
        <f t="shared" si="2"/>
        <v>3.2264048903072977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1.1200000000000003</v>
      </c>
      <c r="B51" s="21"/>
      <c r="C51" s="21">
        <f t="shared" si="2"/>
        <v>3.2242822335059822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1.1600000000000004</v>
      </c>
      <c r="B52" s="21"/>
      <c r="C52" s="21">
        <f t="shared" si="2"/>
        <v>3.222822595695098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1.2000000000000004</v>
      </c>
      <c r="B53" s="21"/>
      <c r="C53" s="21">
        <f t="shared" si="2"/>
        <v>3.2218201746158868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1.2400000000000004</v>
      </c>
      <c r="B54" s="21"/>
      <c r="C54" s="21">
        <f t="shared" si="2"/>
        <v>3.221132363316821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1.2800000000000005</v>
      </c>
      <c r="B55" s="21"/>
      <c r="C55" s="21">
        <f t="shared" si="2"/>
        <v>3.2206607098722206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1.3200000000000005</v>
      </c>
      <c r="B56" s="21"/>
      <c r="C56" s="21">
        <f t="shared" si="2"/>
        <v>3.2203374182558635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1.3600000000000005</v>
      </c>
      <c r="B57" s="21"/>
      <c r="C57" s="21">
        <f t="shared" si="2"/>
        <v>3.2201158840417059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1.4000000000000006</v>
      </c>
      <c r="B58" s="21"/>
      <c r="C58" s="21">
        <f t="shared" si="2"/>
        <v>3.2199641086317934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1.4400000000000006</v>
      </c>
      <c r="B59" s="21"/>
      <c r="C59" s="21">
        <f t="shared" si="2"/>
        <v>3.2198601397828224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1.4800000000000006</v>
      </c>
      <c r="B60" s="21"/>
      <c r="C60" s="21">
        <f t="shared" si="2"/>
        <v>3.2197889258818888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1.5200000000000007</v>
      </c>
      <c r="B61" s="21"/>
      <c r="C61" s="21">
        <f t="shared" si="2"/>
        <v>3.2197401507200545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1.5600000000000007</v>
      </c>
      <c r="B62" s="21"/>
      <c r="C62" s="21">
        <f t="shared" si="2"/>
        <v>3.2197067455445714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1.6000000000000008</v>
      </c>
      <c r="B63" s="21"/>
      <c r="C63" s="21">
        <f t="shared" si="2"/>
        <v>3.2196838676609048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1.6400000000000008</v>
      </c>
      <c r="B64" s="21"/>
      <c r="C64" s="21">
        <f t="shared" si="2"/>
        <v>3.2196681998230523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1.6800000000000008</v>
      </c>
      <c r="B65" s="21"/>
      <c r="C65" s="21">
        <f t="shared" si="2"/>
        <v>3.2196574699096874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1.7200000000000009</v>
      </c>
      <c r="B66" s="21"/>
      <c r="C66" s="21">
        <f t="shared" si="2"/>
        <v>3.2196501217395603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1.7600000000000009</v>
      </c>
      <c r="B67" s="21"/>
      <c r="C67" s="21">
        <f t="shared" si="2"/>
        <v>3.2196450895227864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1.8000000000000009</v>
      </c>
      <c r="B68" s="21"/>
      <c r="C68" s="21">
        <f t="shared" si="2"/>
        <v>3.2196416433461925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1.840000000000001</v>
      </c>
      <c r="B69" s="21"/>
      <c r="C69" s="21">
        <f t="shared" si="2"/>
        <v>3.2196392833332772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1.880000000000001</v>
      </c>
      <c r="B70" s="21"/>
      <c r="C70" s="21">
        <f t="shared" si="2"/>
        <v>3.2196376671510896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1.920000000000001</v>
      </c>
      <c r="B71" s="21"/>
      <c r="C71" s="21">
        <f t="shared" si="2"/>
        <v>3.2196365603600725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1.9600000000000011</v>
      </c>
      <c r="B72" s="21"/>
      <c r="C72" s="21">
        <f t="shared" si="2"/>
        <v>3.2196358024101617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2.0000000000000009</v>
      </c>
      <c r="B73" s="21"/>
      <c r="C73" s="21">
        <f t="shared" si="2"/>
        <v>3.2196352833531132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2.0400000000000009</v>
      </c>
      <c r="B74" s="21"/>
      <c r="C74" s="21">
        <f t="shared" si="2"/>
        <v>3.2196349278941434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2.080000000000001</v>
      </c>
      <c r="B75" s="21"/>
      <c r="C75" s="21">
        <f t="shared" si="2"/>
        <v>3.2196346844699573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2.120000000000001</v>
      </c>
      <c r="B76" s="21"/>
      <c r="C76" s="21">
        <f t="shared" si="2"/>
        <v>3.2196345177690824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2.160000000000001</v>
      </c>
      <c r="B77" s="21"/>
      <c r="C77" s="21">
        <f t="shared" si="2"/>
        <v>3.2196344036096063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2.2000000000000011</v>
      </c>
      <c r="B78" s="21"/>
      <c r="C78" s="21">
        <f t="shared" si="2"/>
        <v>3.2196343254313442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2.2400000000000011</v>
      </c>
      <c r="B79" s="21"/>
      <c r="C79" s="21">
        <f t="shared" si="2"/>
        <v>3.2196342718936051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2.2800000000000011</v>
      </c>
      <c r="B80" s="21"/>
      <c r="C80" s="21">
        <f t="shared" si="2"/>
        <v>3.2196342352300968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2.3200000000000012</v>
      </c>
      <c r="B81" s="21"/>
      <c r="C81" s="21">
        <f t="shared" si="2"/>
        <v>3.2196342101223352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2.3600000000000012</v>
      </c>
      <c r="B82" s="21"/>
      <c r="C82" s="21">
        <f t="shared" si="2"/>
        <v>3.2196341929281354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2.4000000000000012</v>
      </c>
      <c r="B83" s="21"/>
      <c r="C83" s="21">
        <f t="shared" si="2"/>
        <v>3.2196341811532707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2.4400000000000013</v>
      </c>
      <c r="B84" s="21"/>
      <c r="C84" s="21">
        <f t="shared" si="2"/>
        <v>3.2196341730896534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2.4800000000000013</v>
      </c>
      <c r="B85" s="21"/>
      <c r="C85" s="21">
        <f t="shared" si="2"/>
        <v>3.219634167567559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2.5200000000000014</v>
      </c>
      <c r="B86" s="21"/>
      <c r="C86" s="21">
        <f t="shared" si="2"/>
        <v>3.2196341637859396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2.5600000000000014</v>
      </c>
      <c r="B87" s="21"/>
      <c r="C87" s="21">
        <f t="shared" si="2"/>
        <v>3.2196341611962263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2.6000000000000014</v>
      </c>
      <c r="B88" s="21"/>
      <c r="C88" s="21">
        <f t="shared" ref="C88:C122" si="3" xml:space="preserve"> LOG((10^$G$5 - 10^$G$4) * EXP(-$G$3 *A88 )  + 10^$G$4)</f>
        <v>3.2196341594227484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2.6400000000000015</v>
      </c>
      <c r="B89" s="21"/>
      <c r="C89" s="21">
        <f t="shared" si="3"/>
        <v>3.2196341582082426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2.6800000000000015</v>
      </c>
      <c r="B90" s="21"/>
      <c r="C90" s="21">
        <f t="shared" si="3"/>
        <v>3.2196341573765292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2.7200000000000015</v>
      </c>
      <c r="B91" s="21"/>
      <c r="C91" s="21">
        <f t="shared" si="3"/>
        <v>3.2196341568069586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2.7600000000000016</v>
      </c>
      <c r="B92" s="21"/>
      <c r="C92" s="21">
        <f t="shared" si="3"/>
        <v>3.2196341564169075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2.8000000000000016</v>
      </c>
      <c r="B93" s="21"/>
      <c r="C93" s="21">
        <f t="shared" si="3"/>
        <v>3.2196341561497945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2.8400000000000016</v>
      </c>
      <c r="B94" s="21"/>
      <c r="C94" s="21">
        <f t="shared" si="3"/>
        <v>3.2196341559668711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2.8800000000000017</v>
      </c>
      <c r="B95" s="21"/>
      <c r="C95" s="21">
        <f t="shared" si="3"/>
        <v>3.219634155841602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2.9200000000000017</v>
      </c>
      <c r="B96" s="21"/>
      <c r="C96" s="21">
        <f t="shared" si="3"/>
        <v>3.2196341557558159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2.9600000000000017</v>
      </c>
      <c r="B97" s="21"/>
      <c r="C97" s="21">
        <f t="shared" si="3"/>
        <v>3.2196341556970682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3.0000000000000018</v>
      </c>
      <c r="B98" s="21"/>
      <c r="C98" s="21">
        <f t="shared" si="3"/>
        <v>3.2196341556568369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3.0400000000000018</v>
      </c>
      <c r="B99" s="21"/>
      <c r="C99" s="21">
        <f t="shared" si="3"/>
        <v>3.2196341556292856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3.0800000000000018</v>
      </c>
      <c r="B100" s="21"/>
      <c r="C100" s="21">
        <f t="shared" si="3"/>
        <v>3.219634155610418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3.1200000000000019</v>
      </c>
      <c r="B101" s="21"/>
      <c r="C101" s="21">
        <f t="shared" si="3"/>
        <v>3.2196341555974972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3.1600000000000019</v>
      </c>
      <c r="B102" s="21"/>
      <c r="C102" s="21">
        <f t="shared" si="3"/>
        <v>3.2196341555886492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3.200000000000002</v>
      </c>
      <c r="B103" s="21"/>
      <c r="C103" s="21">
        <f t="shared" si="3"/>
        <v>3.2196341555825896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3.240000000000002</v>
      </c>
      <c r="B104" s="21"/>
      <c r="C104" s="21">
        <f t="shared" si="3"/>
        <v>3.21963415557844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3.280000000000002</v>
      </c>
      <c r="B105" s="21"/>
      <c r="C105" s="21">
        <f t="shared" si="3"/>
        <v>3.2196341555755983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3.3200000000000021</v>
      </c>
      <c r="B106" s="21"/>
      <c r="C106" s="21">
        <f t="shared" si="3"/>
        <v>3.2196341555736523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3.3600000000000021</v>
      </c>
      <c r="B107" s="21"/>
      <c r="C107" s="21">
        <f t="shared" si="3"/>
        <v>3.2196341555723196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3.4000000000000021</v>
      </c>
      <c r="B108" s="21"/>
      <c r="C108" s="21">
        <f t="shared" si="3"/>
        <v>3.219634155571407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3.4400000000000022</v>
      </c>
      <c r="B109" s="21"/>
      <c r="C109" s="21">
        <f t="shared" si="3"/>
        <v>3.2196341555707817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3.4800000000000022</v>
      </c>
      <c r="B110" s="21"/>
      <c r="C110" s="21">
        <f t="shared" si="3"/>
        <v>3.219634155570354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3.5200000000000022</v>
      </c>
      <c r="B111" s="21"/>
      <c r="C111" s="21">
        <f t="shared" si="3"/>
        <v>3.2196341555700609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3.5600000000000023</v>
      </c>
      <c r="B112" s="21"/>
      <c r="C112" s="21">
        <f t="shared" si="3"/>
        <v>3.2196341555698602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3.6000000000000023</v>
      </c>
      <c r="B113" s="21"/>
      <c r="C113" s="21">
        <f t="shared" si="3"/>
        <v>3.2196341555697225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3.6400000000000023</v>
      </c>
      <c r="B114" s="21"/>
      <c r="C114" s="21">
        <f t="shared" si="3"/>
        <v>3.2196341555696284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3.6800000000000024</v>
      </c>
      <c r="B115" s="21"/>
      <c r="C115" s="21">
        <f t="shared" si="3"/>
        <v>3.219634155569564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3.7200000000000024</v>
      </c>
      <c r="B116" s="21"/>
      <c r="C116" s="21">
        <f t="shared" si="3"/>
        <v>3.21963415556952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3.7600000000000025</v>
      </c>
      <c r="B117" s="21"/>
      <c r="C117" s="21">
        <f t="shared" si="3"/>
        <v>3.2196341555694898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3.8000000000000025</v>
      </c>
      <c r="B118" s="21"/>
      <c r="C118" s="21">
        <f t="shared" si="3"/>
        <v>3.219634155569469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3.8400000000000025</v>
      </c>
      <c r="B119" s="21"/>
      <c r="C119" s="21">
        <f t="shared" si="3"/>
        <v>3.2196341555694548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3.8800000000000026</v>
      </c>
      <c r="B120" s="21"/>
      <c r="C120" s="21">
        <f t="shared" si="3"/>
        <v>3.219634155569445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3.9200000000000026</v>
      </c>
      <c r="B121" s="21"/>
      <c r="C121" s="21">
        <f t="shared" si="3"/>
        <v>3.2196341555694383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3.9600000000000026</v>
      </c>
      <c r="B122" s="21"/>
      <c r="C122" s="21">
        <f t="shared" si="3"/>
        <v>3.2196341555694339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5">
      <c r="A123" s="21"/>
      <c r="B123" s="21"/>
      <c r="C123" s="21"/>
      <c r="D123" s="21"/>
    </row>
    <row r="124" spans="1:34" x14ac:dyDescent="0.25">
      <c r="A124" s="21"/>
      <c r="B124" s="21"/>
      <c r="C124" s="21"/>
      <c r="D124" s="21"/>
    </row>
    <row r="125" spans="1:34" x14ac:dyDescent="0.25">
      <c r="A125" s="21"/>
      <c r="B125" s="21"/>
      <c r="C125" s="21"/>
      <c r="D125" s="21"/>
    </row>
    <row r="126" spans="1:34" x14ac:dyDescent="0.25">
      <c r="A126" s="21"/>
      <c r="B126" s="21"/>
      <c r="C126" s="21"/>
      <c r="D126" s="21"/>
    </row>
    <row r="127" spans="1:34" x14ac:dyDescent="0.25">
      <c r="A127" s="21"/>
      <c r="B127" s="21"/>
      <c r="C127" s="21"/>
      <c r="D127" s="21"/>
    </row>
    <row r="128" spans="1:34" x14ac:dyDescent="0.25">
      <c r="A128" s="21"/>
      <c r="B128" s="21"/>
      <c r="C128" s="21"/>
      <c r="D128" s="21"/>
    </row>
    <row r="129" spans="1:4" x14ac:dyDescent="0.25">
      <c r="A129" s="21"/>
      <c r="B129" s="21"/>
      <c r="C129" s="21"/>
      <c r="D129" s="21"/>
    </row>
    <row r="130" spans="1:4" x14ac:dyDescent="0.25">
      <c r="A130" s="21"/>
      <c r="B130" s="21"/>
      <c r="C130" s="21"/>
      <c r="D130" s="21"/>
    </row>
    <row r="131" spans="1:4" x14ac:dyDescent="0.25">
      <c r="A131" s="21"/>
      <c r="B131" s="21"/>
      <c r="C131" s="21"/>
      <c r="D131" s="21"/>
    </row>
    <row r="132" spans="1:4" x14ac:dyDescent="0.25">
      <c r="A132" s="21"/>
      <c r="B132" s="21"/>
      <c r="C132" s="21"/>
      <c r="D132" s="21"/>
    </row>
    <row r="133" spans="1:4" x14ac:dyDescent="0.25">
      <c r="A133" s="21"/>
      <c r="B133" s="21"/>
      <c r="C133" s="21"/>
      <c r="D133" s="21"/>
    </row>
    <row r="134" spans="1:4" x14ac:dyDescent="0.25">
      <c r="A134" s="21"/>
      <c r="B134" s="21"/>
      <c r="C134" s="21"/>
      <c r="D134" s="21"/>
    </row>
    <row r="135" spans="1:4" x14ac:dyDescent="0.25">
      <c r="A135" s="21"/>
      <c r="B135" s="21"/>
      <c r="C135" s="21"/>
      <c r="D135" s="21"/>
    </row>
    <row r="136" spans="1:4" x14ac:dyDescent="0.25">
      <c r="A136" s="21"/>
      <c r="B136" s="21"/>
      <c r="C136" s="21"/>
      <c r="D136" s="21"/>
    </row>
    <row r="137" spans="1:4" x14ac:dyDescent="0.25">
      <c r="A137" s="21"/>
      <c r="B137" s="21"/>
      <c r="C137" s="21"/>
      <c r="D137" s="21"/>
    </row>
    <row r="138" spans="1:4" x14ac:dyDescent="0.25">
      <c r="A138" s="21"/>
      <c r="B138" s="21"/>
      <c r="C138" s="21"/>
      <c r="D138" s="21"/>
    </row>
    <row r="139" spans="1:4" x14ac:dyDescent="0.25">
      <c r="A139" s="21"/>
      <c r="B139" s="21"/>
      <c r="C139" s="21"/>
      <c r="D139" s="21"/>
    </row>
    <row r="140" spans="1:4" x14ac:dyDescent="0.25">
      <c r="A140" s="21"/>
      <c r="B140" s="21"/>
      <c r="C140" s="21"/>
      <c r="D140" s="21"/>
    </row>
    <row r="141" spans="1:4" x14ac:dyDescent="0.25">
      <c r="A141" s="21"/>
      <c r="B141" s="21"/>
      <c r="C141" s="21"/>
      <c r="D141" s="21"/>
    </row>
    <row r="142" spans="1:4" x14ac:dyDescent="0.25">
      <c r="A142" s="21"/>
      <c r="B142" s="21"/>
      <c r="C142" s="21"/>
      <c r="D142" s="21"/>
    </row>
    <row r="143" spans="1:4" x14ac:dyDescent="0.25">
      <c r="A143" s="21"/>
      <c r="B143" s="21"/>
      <c r="C143" s="21"/>
      <c r="D143" s="21"/>
    </row>
    <row r="144" spans="1:4" x14ac:dyDescent="0.25">
      <c r="A144" s="21"/>
      <c r="B144" s="21"/>
      <c r="C144" s="21"/>
      <c r="D144" s="21"/>
    </row>
    <row r="145" spans="1:4" x14ac:dyDescent="0.25">
      <c r="A145" s="21"/>
      <c r="B145" s="21"/>
      <c r="C145" s="21"/>
      <c r="D145" s="21"/>
    </row>
    <row r="146" spans="1:4" x14ac:dyDescent="0.25">
      <c r="A146" s="21"/>
      <c r="B146" s="21"/>
      <c r="C146" s="21"/>
      <c r="D146" s="21"/>
    </row>
    <row r="147" spans="1:4" x14ac:dyDescent="0.25">
      <c r="A147" s="21"/>
      <c r="B147" s="21"/>
      <c r="C147" s="21"/>
      <c r="D147" s="21"/>
    </row>
    <row r="148" spans="1:4" x14ac:dyDescent="0.25">
      <c r="A148" s="21"/>
      <c r="B148" s="21"/>
      <c r="C148" s="21"/>
      <c r="D148" s="21"/>
    </row>
    <row r="149" spans="1:4" x14ac:dyDescent="0.25">
      <c r="A149" s="21"/>
      <c r="B149" s="21"/>
      <c r="C149" s="21"/>
      <c r="D149" s="21"/>
    </row>
    <row r="150" spans="1:4" x14ac:dyDescent="0.25">
      <c r="A150" s="21"/>
      <c r="B150" s="21"/>
      <c r="C150" s="21"/>
      <c r="D150" s="21"/>
    </row>
    <row r="151" spans="1:4" x14ac:dyDescent="0.25">
      <c r="A151" s="21"/>
      <c r="B151" s="21"/>
      <c r="C151" s="21"/>
      <c r="D151" s="21"/>
    </row>
    <row r="152" spans="1:4" x14ac:dyDescent="0.25">
      <c r="A152" s="21"/>
      <c r="B152" s="21"/>
      <c r="C152" s="21"/>
      <c r="D152" s="21"/>
    </row>
    <row r="153" spans="1:4" x14ac:dyDescent="0.25">
      <c r="A153" s="21"/>
      <c r="B153" s="21"/>
      <c r="C153" s="21"/>
      <c r="D153" s="21"/>
    </row>
    <row r="154" spans="1:4" x14ac:dyDescent="0.25">
      <c r="A154" s="21"/>
      <c r="B154" s="21"/>
      <c r="C154" s="21"/>
      <c r="D154" s="21"/>
    </row>
    <row r="155" spans="1:4" x14ac:dyDescent="0.25">
      <c r="A155" s="21"/>
      <c r="B155" s="21"/>
      <c r="C155" s="21"/>
      <c r="D155" s="21"/>
    </row>
    <row r="156" spans="1:4" x14ac:dyDescent="0.25">
      <c r="A156" s="21"/>
      <c r="B156" s="21"/>
      <c r="C156" s="21"/>
      <c r="D156" s="21"/>
    </row>
    <row r="157" spans="1:4" x14ac:dyDescent="0.25">
      <c r="A157" s="21"/>
      <c r="B157" s="21"/>
      <c r="C157" s="21"/>
      <c r="D157" s="21"/>
    </row>
    <row r="158" spans="1:4" x14ac:dyDescent="0.25">
      <c r="A158" s="21"/>
      <c r="B158" s="21"/>
      <c r="C158" s="21"/>
      <c r="D158" s="21"/>
    </row>
    <row r="159" spans="1:4" x14ac:dyDescent="0.25">
      <c r="A159" s="21"/>
      <c r="B159" s="21"/>
      <c r="C159" s="21"/>
      <c r="D159" s="21"/>
    </row>
    <row r="160" spans="1:4" x14ac:dyDescent="0.25">
      <c r="A160" s="21"/>
      <c r="B160" s="21"/>
      <c r="C160" s="21"/>
      <c r="D160" s="21"/>
    </row>
    <row r="161" spans="1:4" x14ac:dyDescent="0.25">
      <c r="A161" s="21"/>
      <c r="B161" s="21"/>
      <c r="C161" s="21"/>
      <c r="D161" s="21"/>
    </row>
    <row r="162" spans="1:4" x14ac:dyDescent="0.25">
      <c r="A162" s="21"/>
      <c r="B162" s="21"/>
      <c r="C162" s="21"/>
      <c r="D162" s="21"/>
    </row>
    <row r="163" spans="1:4" x14ac:dyDescent="0.25">
      <c r="A163" s="21"/>
      <c r="B163" s="21"/>
      <c r="C163" s="21"/>
      <c r="D163" s="21"/>
    </row>
    <row r="164" spans="1:4" x14ac:dyDescent="0.25">
      <c r="A164" s="21"/>
      <c r="B164" s="21"/>
      <c r="C164" s="21"/>
      <c r="D164" s="21"/>
    </row>
    <row r="165" spans="1:4" x14ac:dyDescent="0.25">
      <c r="A165" s="21"/>
      <c r="B165" s="21"/>
      <c r="C165" s="21"/>
      <c r="D165" s="21"/>
    </row>
    <row r="166" spans="1:4" x14ac:dyDescent="0.25">
      <c r="A166" s="21"/>
      <c r="B166" s="21"/>
      <c r="C166" s="21"/>
      <c r="D166" s="21"/>
    </row>
    <row r="167" spans="1:4" x14ac:dyDescent="0.25">
      <c r="A167" s="21"/>
      <c r="B167" s="21"/>
      <c r="C167" s="21"/>
      <c r="D167" s="21"/>
    </row>
    <row r="168" spans="1:4" x14ac:dyDescent="0.25">
      <c r="A168" s="21"/>
      <c r="B168" s="21"/>
      <c r="C168" s="21"/>
      <c r="D168" s="21"/>
    </row>
    <row r="169" spans="1:4" x14ac:dyDescent="0.25">
      <c r="A169" s="21"/>
      <c r="B169" s="21"/>
      <c r="C169" s="21"/>
      <c r="D169" s="21"/>
    </row>
    <row r="170" spans="1:4" x14ac:dyDescent="0.25">
      <c r="A170" s="21"/>
      <c r="B170" s="21"/>
      <c r="C170" s="21"/>
      <c r="D170" s="21"/>
    </row>
    <row r="171" spans="1:4" x14ac:dyDescent="0.25">
      <c r="A171" s="21"/>
      <c r="B171" s="21"/>
      <c r="C171" s="21"/>
      <c r="D171" s="21"/>
    </row>
    <row r="172" spans="1:4" x14ac:dyDescent="0.25">
      <c r="A172" s="21"/>
      <c r="B172" s="21"/>
      <c r="C172" s="21"/>
      <c r="D172" s="21"/>
    </row>
    <row r="173" spans="1:4" x14ac:dyDescent="0.25">
      <c r="A173" s="21"/>
      <c r="B173" s="21"/>
      <c r="C173" s="21"/>
      <c r="D173" s="21"/>
    </row>
    <row r="174" spans="1:4" x14ac:dyDescent="0.25">
      <c r="A174" s="21"/>
      <c r="B174" s="21"/>
      <c r="C174" s="21"/>
      <c r="D174" s="21"/>
    </row>
    <row r="175" spans="1:4" x14ac:dyDescent="0.25">
      <c r="A175" s="21"/>
      <c r="B175" s="21"/>
      <c r="C175" s="21"/>
      <c r="D175" s="21"/>
    </row>
    <row r="176" spans="1:4" x14ac:dyDescent="0.25">
      <c r="A176" s="21"/>
      <c r="B176" s="21"/>
      <c r="C176" s="21"/>
      <c r="D176" s="21"/>
    </row>
    <row r="177" spans="1:4" x14ac:dyDescent="0.25">
      <c r="A177" s="21"/>
      <c r="B177" s="21"/>
      <c r="C177" s="21"/>
      <c r="D177" s="21"/>
    </row>
    <row r="178" spans="1:4" x14ac:dyDescent="0.25">
      <c r="A178" s="21"/>
      <c r="B178" s="21"/>
      <c r="C178" s="21"/>
      <c r="D178" s="21"/>
    </row>
    <row r="179" spans="1:4" x14ac:dyDescent="0.25">
      <c r="A179" s="21"/>
      <c r="B179" s="21"/>
      <c r="C179" s="21"/>
      <c r="D179" s="21"/>
    </row>
    <row r="180" spans="1:4" x14ac:dyDescent="0.25">
      <c r="A180" s="21"/>
      <c r="B180" s="21"/>
      <c r="C180" s="21"/>
      <c r="D180" s="21"/>
    </row>
    <row r="181" spans="1:4" x14ac:dyDescent="0.25">
      <c r="A181" s="21"/>
      <c r="B181" s="21"/>
      <c r="C181" s="21"/>
      <c r="D181" s="21"/>
    </row>
    <row r="182" spans="1:4" x14ac:dyDescent="0.25">
      <c r="A182" s="21"/>
      <c r="B182" s="21"/>
      <c r="C182" s="21"/>
      <c r="D182" s="21"/>
    </row>
    <row r="183" spans="1:4" x14ac:dyDescent="0.25">
      <c r="A183" s="21"/>
      <c r="B183" s="21"/>
      <c r="C183" s="21"/>
      <c r="D183" s="21"/>
    </row>
    <row r="184" spans="1:4" x14ac:dyDescent="0.25">
      <c r="A184" s="21"/>
      <c r="B184" s="21"/>
      <c r="C184" s="21"/>
      <c r="D184" s="21"/>
    </row>
    <row r="185" spans="1:4" x14ac:dyDescent="0.25">
      <c r="A185" s="21"/>
      <c r="B185" s="21"/>
      <c r="C185" s="21"/>
      <c r="D185" s="21"/>
    </row>
    <row r="186" spans="1:4" x14ac:dyDescent="0.25">
      <c r="A186" s="21"/>
      <c r="B186" s="21"/>
      <c r="C186" s="21"/>
      <c r="D186" s="21"/>
    </row>
    <row r="187" spans="1:4" x14ac:dyDescent="0.25">
      <c r="A187" s="21"/>
      <c r="B187" s="21"/>
      <c r="C187" s="21"/>
      <c r="D187" s="21"/>
    </row>
    <row r="188" spans="1:4" x14ac:dyDescent="0.25">
      <c r="A188" s="21"/>
      <c r="B188" s="21"/>
      <c r="C188" s="21"/>
      <c r="D188" s="21"/>
    </row>
    <row r="189" spans="1:4" x14ac:dyDescent="0.25">
      <c r="A189" s="21"/>
      <c r="B189" s="21"/>
      <c r="C189" s="21"/>
      <c r="D189" s="21"/>
    </row>
    <row r="190" spans="1:4" x14ac:dyDescent="0.25">
      <c r="A190" s="21"/>
      <c r="B190" s="21"/>
      <c r="C190" s="21"/>
      <c r="D190" s="21"/>
    </row>
    <row r="191" spans="1:4" x14ac:dyDescent="0.25">
      <c r="A191" s="21"/>
      <c r="B191" s="21"/>
      <c r="C191" s="21"/>
      <c r="D191" s="21"/>
    </row>
    <row r="192" spans="1:4" x14ac:dyDescent="0.25">
      <c r="A192" s="21"/>
      <c r="B192" s="21"/>
      <c r="C192" s="21"/>
      <c r="D192" s="21"/>
    </row>
    <row r="193" spans="1:4" x14ac:dyDescent="0.25">
      <c r="A193" s="21"/>
      <c r="B193" s="21"/>
      <c r="C193" s="21"/>
      <c r="D193" s="21"/>
    </row>
    <row r="194" spans="1:4" x14ac:dyDescent="0.25">
      <c r="A194" s="21"/>
      <c r="B194" s="21"/>
      <c r="C194" s="21"/>
      <c r="D194" s="21"/>
    </row>
    <row r="195" spans="1:4" x14ac:dyDescent="0.25">
      <c r="A195" s="21"/>
      <c r="B195" s="21"/>
      <c r="C195" s="21"/>
      <c r="D195" s="21"/>
    </row>
    <row r="196" spans="1:4" x14ac:dyDescent="0.25">
      <c r="A196" s="21"/>
      <c r="B196" s="21"/>
      <c r="C196" s="21"/>
      <c r="D196" s="21"/>
    </row>
    <row r="197" spans="1:4" x14ac:dyDescent="0.25">
      <c r="A197" s="21"/>
      <c r="B197" s="21"/>
      <c r="C197" s="21"/>
      <c r="D197" s="21"/>
    </row>
    <row r="198" spans="1:4" x14ac:dyDescent="0.25">
      <c r="A198" s="21"/>
      <c r="B198" s="21"/>
      <c r="C198" s="21"/>
      <c r="D198" s="21"/>
    </row>
    <row r="199" spans="1:4" x14ac:dyDescent="0.25">
      <c r="A199" s="21"/>
      <c r="B199" s="21"/>
      <c r="C199" s="21"/>
      <c r="D199" s="21"/>
    </row>
    <row r="200" spans="1:4" x14ac:dyDescent="0.25">
      <c r="A200" s="21"/>
      <c r="B200" s="21"/>
      <c r="C200" s="21"/>
      <c r="D200" s="21"/>
    </row>
    <row r="201" spans="1:4" x14ac:dyDescent="0.25">
      <c r="A201" s="21"/>
      <c r="B201" s="21"/>
      <c r="C201" s="21"/>
      <c r="D201" s="21"/>
    </row>
    <row r="202" spans="1:4" x14ac:dyDescent="0.25">
      <c r="A202" s="21"/>
      <c r="B202" s="21"/>
      <c r="C202" s="21"/>
      <c r="D202" s="21"/>
    </row>
    <row r="203" spans="1:4" x14ac:dyDescent="0.25">
      <c r="A203" s="21"/>
      <c r="B203" s="21"/>
      <c r="C203" s="21"/>
      <c r="D203" s="21"/>
    </row>
    <row r="204" spans="1:4" x14ac:dyDescent="0.25">
      <c r="A204" s="21"/>
      <c r="B204" s="21"/>
      <c r="C204" s="21"/>
      <c r="D204" s="21"/>
    </row>
    <row r="205" spans="1:4" x14ac:dyDescent="0.25">
      <c r="A205" s="21"/>
      <c r="B205" s="21"/>
      <c r="C205" s="21"/>
      <c r="D205" s="21"/>
    </row>
    <row r="206" spans="1:4" x14ac:dyDescent="0.25">
      <c r="A206" s="21"/>
      <c r="B206" s="21"/>
      <c r="C206" s="21"/>
      <c r="D206" s="21"/>
    </row>
    <row r="207" spans="1:4" x14ac:dyDescent="0.25">
      <c r="A207" s="21"/>
      <c r="B207" s="21"/>
      <c r="C207" s="21"/>
      <c r="D207" s="21"/>
    </row>
    <row r="208" spans="1:4" x14ac:dyDescent="0.25">
      <c r="A208" s="21"/>
      <c r="B208" s="21"/>
      <c r="C208" s="21"/>
      <c r="D208" s="21"/>
    </row>
    <row r="209" spans="1:4" x14ac:dyDescent="0.25">
      <c r="A209" s="21"/>
      <c r="B209" s="21"/>
      <c r="C209" s="21"/>
      <c r="D209" s="21"/>
    </row>
    <row r="210" spans="1:4" x14ac:dyDescent="0.25">
      <c r="A210" s="21"/>
      <c r="B210" s="21"/>
      <c r="C210" s="21"/>
      <c r="D210" s="21"/>
    </row>
    <row r="211" spans="1:4" x14ac:dyDescent="0.25">
      <c r="A211" s="21"/>
      <c r="B211" s="21"/>
      <c r="C211" s="21"/>
      <c r="D211" s="21"/>
    </row>
    <row r="212" spans="1:4" x14ac:dyDescent="0.25">
      <c r="A212" s="21"/>
      <c r="B212" s="21"/>
      <c r="C212" s="21"/>
      <c r="D212" s="21"/>
    </row>
    <row r="213" spans="1:4" x14ac:dyDescent="0.25">
      <c r="A213" s="21"/>
      <c r="B213" s="21"/>
      <c r="C213" s="21"/>
      <c r="D213" s="21"/>
    </row>
    <row r="214" spans="1:4" x14ac:dyDescent="0.25">
      <c r="A214" s="21"/>
      <c r="B214" s="21"/>
      <c r="C214" s="21"/>
      <c r="D214" s="21"/>
    </row>
    <row r="215" spans="1:4" x14ac:dyDescent="0.25">
      <c r="A215" s="21"/>
      <c r="B215" s="21"/>
      <c r="C215" s="21"/>
      <c r="D215" s="21"/>
    </row>
    <row r="216" spans="1:4" x14ac:dyDescent="0.25">
      <c r="A216" s="21"/>
      <c r="B216" s="21"/>
      <c r="C216" s="21"/>
      <c r="D216" s="21"/>
    </row>
    <row r="217" spans="1:4" x14ac:dyDescent="0.25">
      <c r="A217" s="21"/>
      <c r="B217" s="21"/>
      <c r="C217" s="21"/>
      <c r="D217" s="21"/>
    </row>
    <row r="218" spans="1:4" x14ac:dyDescent="0.25">
      <c r="A218" s="21"/>
      <c r="B218" s="21"/>
      <c r="C218" s="21"/>
      <c r="D218" s="21"/>
    </row>
    <row r="219" spans="1:4" x14ac:dyDescent="0.25">
      <c r="A219" s="21"/>
      <c r="B219" s="21"/>
      <c r="C219" s="21"/>
      <c r="D219" s="21"/>
    </row>
    <row r="220" spans="1:4" x14ac:dyDescent="0.25">
      <c r="A220" s="21"/>
      <c r="B220" s="21"/>
      <c r="C220" s="21"/>
      <c r="D220" s="21"/>
    </row>
    <row r="221" spans="1:4" x14ac:dyDescent="0.25">
      <c r="A221" s="21"/>
      <c r="B221" s="21"/>
      <c r="C221" s="21"/>
      <c r="D221" s="21"/>
    </row>
    <row r="222" spans="1:4" x14ac:dyDescent="0.25">
      <c r="A222" s="21"/>
      <c r="B222" s="21"/>
      <c r="C222" s="21"/>
      <c r="D222" s="21"/>
    </row>
    <row r="223" spans="1:4" x14ac:dyDescent="0.25">
      <c r="A223" s="21"/>
      <c r="B223" s="21"/>
      <c r="C223" s="21"/>
      <c r="D223" s="21"/>
    </row>
    <row r="224" spans="1:4" x14ac:dyDescent="0.25">
      <c r="A224" s="21"/>
      <c r="B224" s="21"/>
      <c r="C224" s="21"/>
      <c r="D224" s="21"/>
    </row>
    <row r="225" spans="1:4" x14ac:dyDescent="0.25">
      <c r="A225" s="21"/>
      <c r="B225" s="21"/>
      <c r="C225" s="21"/>
      <c r="D225" s="21"/>
    </row>
    <row r="226" spans="1:4" x14ac:dyDescent="0.25">
      <c r="A226" s="21"/>
      <c r="B226" s="21"/>
      <c r="C226" s="21"/>
      <c r="D226" s="21"/>
    </row>
    <row r="227" spans="1:4" x14ac:dyDescent="0.25">
      <c r="A227" s="21"/>
      <c r="B227" s="21"/>
      <c r="C227" s="21"/>
      <c r="D227" s="21"/>
    </row>
    <row r="228" spans="1:4" x14ac:dyDescent="0.25">
      <c r="A228" s="21"/>
      <c r="B228" s="21"/>
      <c r="C228" s="21"/>
      <c r="D228" s="21"/>
    </row>
    <row r="229" spans="1:4" x14ac:dyDescent="0.25">
      <c r="A229" s="21"/>
      <c r="B229" s="21"/>
      <c r="C229" s="21"/>
      <c r="D229" s="21"/>
    </row>
    <row r="230" spans="1:4" x14ac:dyDescent="0.25">
      <c r="A230" s="21"/>
      <c r="B230" s="21"/>
      <c r="C230" s="21"/>
      <c r="D230" s="21"/>
    </row>
    <row r="231" spans="1:4" x14ac:dyDescent="0.25">
      <c r="A231" s="21"/>
      <c r="B231" s="21"/>
      <c r="C231" s="21"/>
      <c r="D231" s="21"/>
    </row>
    <row r="232" spans="1:4" x14ac:dyDescent="0.25">
      <c r="A232" s="21"/>
      <c r="B232" s="21"/>
      <c r="C232" s="21"/>
      <c r="D232" s="21"/>
    </row>
    <row r="233" spans="1:4" x14ac:dyDescent="0.25">
      <c r="A233" s="21"/>
      <c r="B233" s="21"/>
      <c r="C233" s="21"/>
      <c r="D233" s="21"/>
    </row>
    <row r="234" spans="1:4" x14ac:dyDescent="0.25">
      <c r="A234" s="21"/>
      <c r="B234" s="21"/>
      <c r="C234" s="21"/>
      <c r="D234" s="21"/>
    </row>
    <row r="235" spans="1:4" x14ac:dyDescent="0.25">
      <c r="A235" s="21"/>
      <c r="B235" s="21"/>
      <c r="C235" s="21"/>
      <c r="D235" s="21"/>
    </row>
    <row r="236" spans="1:4" x14ac:dyDescent="0.25">
      <c r="A236" s="21"/>
      <c r="B236" s="21"/>
      <c r="C236" s="21"/>
      <c r="D236" s="21"/>
    </row>
    <row r="237" spans="1:4" x14ac:dyDescent="0.25">
      <c r="A237" s="21"/>
      <c r="B237" s="21"/>
      <c r="C237" s="21"/>
      <c r="D237" s="21"/>
    </row>
    <row r="238" spans="1:4" x14ac:dyDescent="0.25">
      <c r="A238" s="21"/>
      <c r="B238" s="21"/>
      <c r="C238" s="21"/>
      <c r="D238" s="21"/>
    </row>
    <row r="239" spans="1:4" x14ac:dyDescent="0.25">
      <c r="A239" s="21"/>
      <c r="B239" s="21"/>
      <c r="C239" s="21"/>
      <c r="D239" s="21"/>
    </row>
    <row r="240" spans="1:4" x14ac:dyDescent="0.25">
      <c r="A240" s="21"/>
      <c r="B240" s="21"/>
      <c r="C240" s="21"/>
      <c r="D240" s="21"/>
    </row>
    <row r="241" spans="1:4" x14ac:dyDescent="0.25">
      <c r="A241" s="21"/>
      <c r="B241" s="21"/>
      <c r="C241" s="21"/>
      <c r="D241" s="21"/>
    </row>
    <row r="242" spans="1:4" x14ac:dyDescent="0.25">
      <c r="A242" s="21"/>
      <c r="B242" s="21"/>
      <c r="C242" s="21"/>
      <c r="D242" s="21"/>
    </row>
    <row r="243" spans="1:4" x14ac:dyDescent="0.25">
      <c r="A243" s="21"/>
      <c r="B243" s="21"/>
      <c r="C243" s="21"/>
      <c r="D243" s="21"/>
    </row>
    <row r="244" spans="1:4" x14ac:dyDescent="0.25">
      <c r="A244" s="21"/>
      <c r="B244" s="21"/>
      <c r="C244" s="21"/>
      <c r="D244" s="21"/>
    </row>
    <row r="245" spans="1:4" x14ac:dyDescent="0.25">
      <c r="A245" s="21"/>
      <c r="B245" s="21"/>
      <c r="C245" s="21"/>
      <c r="D245" s="21"/>
    </row>
    <row r="246" spans="1:4" x14ac:dyDescent="0.25">
      <c r="A246" s="21"/>
      <c r="B246" s="21"/>
      <c r="C246" s="21"/>
      <c r="D246" s="21"/>
    </row>
    <row r="247" spans="1:4" x14ac:dyDescent="0.25">
      <c r="A247" s="21"/>
      <c r="B247" s="21"/>
      <c r="C247" s="21"/>
      <c r="D247" s="21"/>
    </row>
    <row r="248" spans="1:4" x14ac:dyDescent="0.25">
      <c r="A248" s="21"/>
      <c r="B248" s="21"/>
      <c r="C248" s="21"/>
      <c r="D248" s="21"/>
    </row>
    <row r="249" spans="1:4" x14ac:dyDescent="0.25">
      <c r="A249" s="21"/>
      <c r="B249" s="21"/>
      <c r="C249" s="21"/>
      <c r="D249" s="21"/>
    </row>
    <row r="250" spans="1:4" x14ac:dyDescent="0.25">
      <c r="A250" s="21"/>
      <c r="B250" s="21"/>
      <c r="C250" s="21"/>
      <c r="D250" s="21"/>
    </row>
    <row r="251" spans="1:4" x14ac:dyDescent="0.25">
      <c r="A251" s="21"/>
      <c r="B251" s="21"/>
      <c r="C251" s="21"/>
      <c r="D251" s="21"/>
    </row>
    <row r="252" spans="1:4" x14ac:dyDescent="0.25">
      <c r="A252" s="21"/>
      <c r="B252" s="21"/>
      <c r="C252" s="21"/>
      <c r="D252" s="21"/>
    </row>
    <row r="253" spans="1:4" x14ac:dyDescent="0.25">
      <c r="A253" s="21"/>
      <c r="B253" s="21"/>
      <c r="C253" s="21"/>
      <c r="D253" s="21"/>
    </row>
    <row r="254" spans="1:4" x14ac:dyDescent="0.25">
      <c r="A254" s="21"/>
      <c r="B254" s="21"/>
      <c r="C254" s="21"/>
      <c r="D254" s="21"/>
    </row>
    <row r="255" spans="1:4" x14ac:dyDescent="0.25">
      <c r="A255" s="21"/>
      <c r="B255" s="21"/>
      <c r="C255" s="21"/>
      <c r="D255" s="21"/>
    </row>
    <row r="256" spans="1:4" x14ac:dyDescent="0.25">
      <c r="A256" s="21"/>
      <c r="B256" s="21"/>
      <c r="C256" s="21"/>
      <c r="D256" s="21"/>
    </row>
    <row r="257" spans="1:4" x14ac:dyDescent="0.25">
      <c r="A257" s="21"/>
      <c r="B257" s="21"/>
      <c r="C257" s="21"/>
      <c r="D257" s="21"/>
    </row>
    <row r="258" spans="1:4" x14ac:dyDescent="0.25">
      <c r="A258" s="21"/>
      <c r="B258" s="21"/>
      <c r="C258" s="21"/>
      <c r="D258" s="21"/>
    </row>
    <row r="259" spans="1:4" x14ac:dyDescent="0.25">
      <c r="A259" s="21"/>
      <c r="B259" s="21"/>
      <c r="C259" s="21"/>
      <c r="D259" s="21"/>
    </row>
    <row r="260" spans="1:4" x14ac:dyDescent="0.25">
      <c r="A260" s="21"/>
      <c r="B260" s="21"/>
      <c r="C260" s="21"/>
      <c r="D260" s="21"/>
    </row>
    <row r="261" spans="1:4" x14ac:dyDescent="0.25">
      <c r="A261" s="21"/>
      <c r="B261" s="21"/>
      <c r="C261" s="21"/>
      <c r="D261" s="21"/>
    </row>
    <row r="262" spans="1:4" x14ac:dyDescent="0.25">
      <c r="A262" s="21"/>
      <c r="B262" s="21"/>
      <c r="C262" s="21"/>
      <c r="D262" s="21"/>
    </row>
    <row r="263" spans="1:4" x14ac:dyDescent="0.25">
      <c r="A263" s="21"/>
      <c r="B263" s="21"/>
      <c r="C263" s="21"/>
      <c r="D263" s="21"/>
    </row>
    <row r="264" spans="1:4" x14ac:dyDescent="0.25">
      <c r="A264" s="21"/>
      <c r="B264" s="21"/>
      <c r="C264" s="21"/>
      <c r="D264" s="21"/>
    </row>
    <row r="265" spans="1:4" x14ac:dyDescent="0.25">
      <c r="A265" s="21"/>
      <c r="B265" s="21"/>
      <c r="C265" s="21"/>
      <c r="D265" s="21"/>
    </row>
    <row r="266" spans="1:4" x14ac:dyDescent="0.25">
      <c r="A266" s="21"/>
      <c r="B266" s="21"/>
      <c r="C266" s="21"/>
      <c r="D266" s="21"/>
    </row>
    <row r="267" spans="1:4" x14ac:dyDescent="0.25">
      <c r="A267" s="21"/>
      <c r="B267" s="21"/>
      <c r="C267" s="21"/>
      <c r="D267" s="21"/>
    </row>
    <row r="268" spans="1:4" x14ac:dyDescent="0.25">
      <c r="A268" s="21"/>
      <c r="B268" s="21"/>
      <c r="C268" s="21"/>
      <c r="D268" s="21"/>
    </row>
    <row r="269" spans="1:4" x14ac:dyDescent="0.25">
      <c r="A269" s="21"/>
      <c r="B269" s="21"/>
      <c r="C269" s="21"/>
      <c r="D269" s="21"/>
    </row>
    <row r="270" spans="1:4" x14ac:dyDescent="0.25">
      <c r="A270" s="21"/>
      <c r="B270" s="21"/>
      <c r="C270" s="21"/>
      <c r="D270" s="21"/>
    </row>
    <row r="271" spans="1:4" x14ac:dyDescent="0.25">
      <c r="A271" s="21"/>
      <c r="B271" s="21"/>
      <c r="C271" s="21"/>
      <c r="D271" s="21"/>
    </row>
    <row r="272" spans="1:4" x14ac:dyDescent="0.25">
      <c r="A272" s="21"/>
      <c r="B272" s="21"/>
      <c r="C272" s="21"/>
      <c r="D272" s="21"/>
    </row>
    <row r="273" spans="1:4" x14ac:dyDescent="0.25">
      <c r="A273" s="21"/>
      <c r="B273" s="21"/>
      <c r="C273" s="21"/>
      <c r="D273" s="21"/>
    </row>
    <row r="274" spans="1:4" x14ac:dyDescent="0.25">
      <c r="A274" s="21"/>
      <c r="B274" s="21"/>
      <c r="C274" s="21"/>
      <c r="D274" s="21"/>
    </row>
    <row r="275" spans="1:4" x14ac:dyDescent="0.25">
      <c r="A275" s="21"/>
      <c r="B275" s="21"/>
      <c r="C275" s="21"/>
      <c r="D275" s="21"/>
    </row>
    <row r="276" spans="1:4" x14ac:dyDescent="0.25">
      <c r="A276" s="21"/>
      <c r="B276" s="21"/>
      <c r="C276" s="21"/>
      <c r="D276" s="21"/>
    </row>
    <row r="277" spans="1:4" x14ac:dyDescent="0.25">
      <c r="A277" s="21"/>
      <c r="B277" s="21"/>
      <c r="C277" s="21"/>
      <c r="D277" s="21"/>
    </row>
    <row r="278" spans="1:4" x14ac:dyDescent="0.25">
      <c r="A278" s="21"/>
      <c r="B278" s="21"/>
      <c r="C278" s="21"/>
      <c r="D278" s="21"/>
    </row>
    <row r="279" spans="1:4" x14ac:dyDescent="0.25">
      <c r="A279" s="21"/>
      <c r="B279" s="21"/>
      <c r="C279" s="21"/>
      <c r="D279" s="21"/>
    </row>
    <row r="280" spans="1:4" x14ac:dyDescent="0.25">
      <c r="A280" s="21"/>
      <c r="B280" s="21"/>
      <c r="C280" s="21"/>
      <c r="D280" s="21"/>
    </row>
    <row r="281" spans="1:4" x14ac:dyDescent="0.25">
      <c r="A281" s="21"/>
      <c r="B281" s="21"/>
      <c r="C281" s="21"/>
      <c r="D281" s="21"/>
    </row>
    <row r="282" spans="1:4" x14ac:dyDescent="0.25">
      <c r="A282" s="21"/>
      <c r="B282" s="21"/>
      <c r="C282" s="21"/>
      <c r="D282" s="21"/>
    </row>
    <row r="283" spans="1:4" x14ac:dyDescent="0.25">
      <c r="A283" s="21"/>
      <c r="B283" s="21"/>
      <c r="C283" s="21"/>
      <c r="D283" s="21"/>
    </row>
    <row r="284" spans="1:4" x14ac:dyDescent="0.25">
      <c r="A284" s="21"/>
      <c r="B284" s="21"/>
      <c r="C284" s="21"/>
      <c r="D284" s="21"/>
    </row>
    <row r="285" spans="1:4" x14ac:dyDescent="0.25">
      <c r="A285" s="21"/>
      <c r="B285" s="21"/>
      <c r="C285" s="21"/>
      <c r="D285" s="21"/>
    </row>
    <row r="286" spans="1:4" x14ac:dyDescent="0.25">
      <c r="A286" s="21"/>
      <c r="B286" s="21"/>
      <c r="C286" s="21"/>
      <c r="D286" s="21"/>
    </row>
    <row r="287" spans="1:4" x14ac:dyDescent="0.25">
      <c r="A287" s="21"/>
      <c r="B287" s="21"/>
      <c r="C287" s="21"/>
      <c r="D287" s="21"/>
    </row>
    <row r="288" spans="1:4" x14ac:dyDescent="0.25">
      <c r="A288" s="21"/>
      <c r="B288" s="21"/>
      <c r="C288" s="21"/>
      <c r="D288" s="21"/>
    </row>
    <row r="289" spans="1:4" x14ac:dyDescent="0.25">
      <c r="A289" s="21"/>
      <c r="B289" s="21"/>
      <c r="C289" s="21"/>
      <c r="D289" s="21"/>
    </row>
    <row r="290" spans="1:4" x14ac:dyDescent="0.25">
      <c r="A290" s="21"/>
      <c r="B290" s="21"/>
      <c r="C290" s="21"/>
      <c r="D290" s="21"/>
    </row>
    <row r="291" spans="1:4" x14ac:dyDescent="0.25">
      <c r="A291" s="21"/>
      <c r="B291" s="21"/>
      <c r="C291" s="21"/>
      <c r="D291" s="21"/>
    </row>
    <row r="292" spans="1:4" x14ac:dyDescent="0.25">
      <c r="A292" s="21"/>
      <c r="B292" s="21"/>
      <c r="C292" s="21"/>
      <c r="D292" s="21"/>
    </row>
    <row r="293" spans="1:4" x14ac:dyDescent="0.25">
      <c r="A293" s="21"/>
      <c r="B293" s="21"/>
      <c r="C293" s="21"/>
      <c r="D293" s="21"/>
    </row>
    <row r="294" spans="1:4" x14ac:dyDescent="0.25">
      <c r="A294" s="21"/>
      <c r="B294" s="21"/>
      <c r="C294" s="21"/>
      <c r="D294" s="21"/>
    </row>
    <row r="295" spans="1:4" x14ac:dyDescent="0.25">
      <c r="A295" s="21"/>
      <c r="B295" s="21"/>
      <c r="C295" s="21"/>
      <c r="D295" s="21"/>
    </row>
    <row r="296" spans="1:4" x14ac:dyDescent="0.25">
      <c r="A296" s="21"/>
      <c r="B296" s="21"/>
      <c r="C296" s="21"/>
      <c r="D296" s="21"/>
    </row>
    <row r="297" spans="1:4" x14ac:dyDescent="0.25">
      <c r="A297" s="21"/>
      <c r="B297" s="21"/>
      <c r="C297" s="21"/>
      <c r="D297" s="21"/>
    </row>
    <row r="298" spans="1:4" x14ac:dyDescent="0.25">
      <c r="A298" s="21"/>
      <c r="B298" s="21"/>
      <c r="C298" s="21"/>
      <c r="D298" s="21"/>
    </row>
    <row r="299" spans="1:4" x14ac:dyDescent="0.25">
      <c r="A299" s="21"/>
      <c r="B299" s="21"/>
      <c r="C299" s="21"/>
      <c r="D299" s="21"/>
    </row>
    <row r="300" spans="1:4" x14ac:dyDescent="0.25">
      <c r="A300" s="21"/>
      <c r="B300" s="21"/>
      <c r="C300" s="21"/>
      <c r="D300" s="21"/>
    </row>
    <row r="301" spans="1:4" x14ac:dyDescent="0.25">
      <c r="A301" s="21"/>
      <c r="B301" s="21"/>
      <c r="C301" s="21"/>
      <c r="D301" s="21"/>
    </row>
    <row r="302" spans="1:4" x14ac:dyDescent="0.25">
      <c r="A302" s="21"/>
      <c r="B302" s="21"/>
      <c r="C302" s="21"/>
      <c r="D302" s="21"/>
    </row>
    <row r="303" spans="1:4" x14ac:dyDescent="0.25">
      <c r="A303" s="21"/>
      <c r="B303" s="21"/>
      <c r="C303" s="21"/>
      <c r="D303" s="21"/>
    </row>
    <row r="304" spans="1:4" x14ac:dyDescent="0.25">
      <c r="A304" s="21"/>
      <c r="B304" s="21"/>
      <c r="C304" s="21"/>
      <c r="D304" s="21"/>
    </row>
    <row r="305" spans="1:4" x14ac:dyDescent="0.25">
      <c r="A305" s="21"/>
      <c r="B305" s="21"/>
      <c r="C305" s="21"/>
      <c r="D305" s="21"/>
    </row>
    <row r="306" spans="1:4" x14ac:dyDescent="0.25">
      <c r="A306" s="21"/>
      <c r="B306" s="21"/>
      <c r="C306" s="21"/>
      <c r="D306" s="21"/>
    </row>
    <row r="307" spans="1:4" x14ac:dyDescent="0.25">
      <c r="A307" s="21"/>
      <c r="B307" s="21"/>
      <c r="C307" s="21"/>
      <c r="D307" s="21"/>
    </row>
    <row r="308" spans="1:4" x14ac:dyDescent="0.25">
      <c r="A308" s="21"/>
      <c r="B308" s="21"/>
      <c r="C308" s="21"/>
      <c r="D308" s="21"/>
    </row>
    <row r="309" spans="1:4" x14ac:dyDescent="0.25">
      <c r="A309" s="21"/>
      <c r="B309" s="21"/>
      <c r="C309" s="21"/>
      <c r="D309" s="21"/>
    </row>
    <row r="310" spans="1:4" x14ac:dyDescent="0.25">
      <c r="A310" s="21"/>
      <c r="B310" s="21"/>
      <c r="C310" s="21"/>
      <c r="D310" s="21"/>
    </row>
    <row r="311" spans="1:4" x14ac:dyDescent="0.25">
      <c r="A311" s="21"/>
      <c r="B311" s="21"/>
      <c r="C311" s="21"/>
      <c r="D311" s="21"/>
    </row>
    <row r="312" spans="1:4" x14ac:dyDescent="0.25">
      <c r="A312" s="21"/>
      <c r="B312" s="21"/>
      <c r="C312" s="21"/>
      <c r="D312" s="21"/>
    </row>
    <row r="313" spans="1:4" x14ac:dyDescent="0.25">
      <c r="A313" s="21"/>
      <c r="B313" s="21"/>
      <c r="C313" s="21"/>
      <c r="D313" s="21"/>
    </row>
    <row r="314" spans="1:4" x14ac:dyDescent="0.25">
      <c r="A314" s="21"/>
      <c r="B314" s="21"/>
      <c r="C314" s="21"/>
      <c r="D314" s="21"/>
    </row>
    <row r="315" spans="1:4" x14ac:dyDescent="0.25">
      <c r="A315" s="21"/>
      <c r="B315" s="21"/>
      <c r="C315" s="21"/>
      <c r="D315" s="21"/>
    </row>
    <row r="316" spans="1:4" x14ac:dyDescent="0.25">
      <c r="A316" s="21"/>
      <c r="B316" s="21"/>
      <c r="C316" s="21"/>
      <c r="D316" s="21"/>
    </row>
    <row r="317" spans="1:4" x14ac:dyDescent="0.25">
      <c r="A317" s="21"/>
      <c r="B317" s="21"/>
      <c r="C317" s="21"/>
      <c r="D317" s="21"/>
    </row>
    <row r="318" spans="1:4" x14ac:dyDescent="0.25">
      <c r="A318" s="21"/>
      <c r="B318" s="21"/>
      <c r="C318" s="21"/>
      <c r="D318" s="21"/>
    </row>
    <row r="319" spans="1:4" x14ac:dyDescent="0.25">
      <c r="A319" s="21"/>
      <c r="B319" s="21"/>
      <c r="C319" s="21"/>
      <c r="D319" s="21"/>
    </row>
    <row r="320" spans="1:4" x14ac:dyDescent="0.25">
      <c r="A320" s="21"/>
      <c r="B320" s="21"/>
      <c r="C320" s="21"/>
      <c r="D320" s="21"/>
    </row>
    <row r="321" spans="1:4" x14ac:dyDescent="0.25">
      <c r="A321" s="21"/>
      <c r="B321" s="21"/>
      <c r="C321" s="21"/>
      <c r="D321" s="21"/>
    </row>
    <row r="322" spans="1:4" x14ac:dyDescent="0.25">
      <c r="A322" s="21"/>
      <c r="B322" s="21"/>
      <c r="C322" s="21"/>
      <c r="D322" s="21"/>
    </row>
    <row r="323" spans="1:4" x14ac:dyDescent="0.25">
      <c r="A323" s="21"/>
      <c r="B323" s="21"/>
      <c r="C323" s="21"/>
      <c r="D323" s="21"/>
    </row>
    <row r="324" spans="1:4" x14ac:dyDescent="0.25">
      <c r="A324" s="21"/>
      <c r="B324" s="21"/>
      <c r="C324" s="21"/>
      <c r="D324" s="21"/>
    </row>
    <row r="325" spans="1:4" x14ac:dyDescent="0.25">
      <c r="A325" s="21"/>
      <c r="B325" s="21"/>
      <c r="C325" s="21"/>
      <c r="D325" s="21"/>
    </row>
    <row r="326" spans="1:4" x14ac:dyDescent="0.25">
      <c r="A326" s="21"/>
      <c r="B326" s="21"/>
      <c r="C326" s="21"/>
      <c r="D326" s="21"/>
    </row>
    <row r="327" spans="1:4" x14ac:dyDescent="0.25">
      <c r="A327" s="21"/>
      <c r="B327" s="21"/>
      <c r="C327" s="21"/>
      <c r="D327" s="21"/>
    </row>
    <row r="328" spans="1:4" x14ac:dyDescent="0.25">
      <c r="A328" s="21"/>
      <c r="B328" s="21"/>
      <c r="C328" s="21"/>
      <c r="D328" s="21"/>
    </row>
    <row r="329" spans="1:4" x14ac:dyDescent="0.25">
      <c r="A329" s="21"/>
      <c r="B329" s="21"/>
      <c r="C329" s="21"/>
      <c r="D329" s="21"/>
    </row>
    <row r="330" spans="1:4" x14ac:dyDescent="0.25">
      <c r="A330" s="21"/>
      <c r="B330" s="21"/>
      <c r="C330" s="21"/>
      <c r="D330" s="21"/>
    </row>
    <row r="331" spans="1:4" x14ac:dyDescent="0.25">
      <c r="A331" s="21"/>
      <c r="B331" s="21"/>
      <c r="C331" s="21"/>
      <c r="D331" s="21"/>
    </row>
    <row r="332" spans="1:4" x14ac:dyDescent="0.25">
      <c r="A332" s="21"/>
      <c r="B332" s="21"/>
      <c r="C332" s="21"/>
      <c r="D332" s="21"/>
    </row>
    <row r="333" spans="1:4" x14ac:dyDescent="0.25">
      <c r="A333" s="21"/>
      <c r="B333" s="21"/>
      <c r="C333" s="21"/>
      <c r="D333" s="21"/>
    </row>
    <row r="334" spans="1:4" x14ac:dyDescent="0.25">
      <c r="A334" s="21"/>
      <c r="B334" s="21"/>
      <c r="C334" s="21"/>
      <c r="D334" s="21"/>
    </row>
    <row r="335" spans="1:4" x14ac:dyDescent="0.25">
      <c r="A335" s="21"/>
      <c r="B335" s="21"/>
      <c r="C335" s="21"/>
      <c r="D335" s="21"/>
    </row>
    <row r="336" spans="1:4" x14ac:dyDescent="0.25">
      <c r="A336" s="21"/>
      <c r="B336" s="21"/>
      <c r="C336" s="21"/>
      <c r="D336" s="21"/>
    </row>
    <row r="337" spans="1:4" x14ac:dyDescent="0.25">
      <c r="A337" s="21"/>
      <c r="B337" s="21"/>
      <c r="C337" s="21"/>
      <c r="D337" s="21"/>
    </row>
    <row r="338" spans="1:4" x14ac:dyDescent="0.25">
      <c r="A338" s="21"/>
      <c r="B338" s="21"/>
      <c r="C338" s="21"/>
      <c r="D338" s="21"/>
    </row>
    <row r="339" spans="1:4" x14ac:dyDescent="0.25">
      <c r="A339" s="21"/>
      <c r="B339" s="21"/>
      <c r="C339" s="21"/>
      <c r="D339" s="21"/>
    </row>
    <row r="340" spans="1:4" x14ac:dyDescent="0.25">
      <c r="A340" s="21"/>
      <c r="B340" s="21"/>
      <c r="C340" s="21"/>
      <c r="D340" s="21"/>
    </row>
    <row r="341" spans="1:4" x14ac:dyDescent="0.25">
      <c r="A341" s="21"/>
      <c r="B341" s="21"/>
      <c r="C341" s="21"/>
      <c r="D341" s="21"/>
    </row>
    <row r="342" spans="1:4" x14ac:dyDescent="0.25">
      <c r="A342" s="21"/>
      <c r="B342" s="21"/>
      <c r="C342" s="21"/>
      <c r="D342" s="21"/>
    </row>
    <row r="343" spans="1:4" x14ac:dyDescent="0.25">
      <c r="A343" s="21"/>
      <c r="B343" s="21"/>
      <c r="C343" s="21"/>
      <c r="D343" s="21"/>
    </row>
    <row r="344" spans="1:4" x14ac:dyDescent="0.25">
      <c r="A344" s="21"/>
      <c r="B344" s="21"/>
      <c r="C344" s="21"/>
      <c r="D344" s="21"/>
    </row>
    <row r="345" spans="1:4" x14ac:dyDescent="0.25">
      <c r="A345" s="21"/>
      <c r="B345" s="21"/>
      <c r="C345" s="21"/>
      <c r="D345" s="21"/>
    </row>
    <row r="346" spans="1:4" x14ac:dyDescent="0.25">
      <c r="A346" s="21"/>
      <c r="B346" s="21"/>
      <c r="C346" s="21"/>
      <c r="D346" s="21"/>
    </row>
    <row r="347" spans="1:4" x14ac:dyDescent="0.25">
      <c r="A347" s="21"/>
      <c r="B347" s="21"/>
      <c r="C347" s="21"/>
      <c r="D347" s="21"/>
    </row>
    <row r="348" spans="1:4" x14ac:dyDescent="0.25">
      <c r="A348" s="21"/>
      <c r="B348" s="21"/>
      <c r="C348" s="21"/>
      <c r="D348" s="21"/>
    </row>
    <row r="349" spans="1:4" x14ac:dyDescent="0.25">
      <c r="A349" s="21"/>
      <c r="B349" s="21"/>
      <c r="C349" s="21"/>
      <c r="D349" s="21"/>
    </row>
    <row r="350" spans="1:4" x14ac:dyDescent="0.25">
      <c r="A350" s="21"/>
      <c r="B350" s="21"/>
      <c r="C350" s="21"/>
      <c r="D350" s="21"/>
    </row>
    <row r="351" spans="1:4" x14ac:dyDescent="0.25">
      <c r="A351" s="21"/>
      <c r="B351" s="21"/>
      <c r="C351" s="21"/>
      <c r="D351" s="21"/>
    </row>
    <row r="352" spans="1:4" x14ac:dyDescent="0.25">
      <c r="A352" s="21"/>
      <c r="B352" s="21"/>
      <c r="C352" s="21"/>
      <c r="D352" s="21"/>
    </row>
    <row r="353" spans="1:4" x14ac:dyDescent="0.25">
      <c r="A353" s="21"/>
      <c r="B353" s="21"/>
      <c r="C353" s="21"/>
      <c r="D353" s="21"/>
    </row>
    <row r="354" spans="1:4" x14ac:dyDescent="0.25">
      <c r="A354" s="21"/>
      <c r="B354" s="21"/>
      <c r="C354" s="21"/>
      <c r="D354" s="21"/>
    </row>
    <row r="355" spans="1:4" x14ac:dyDescent="0.25">
      <c r="A355" s="21"/>
      <c r="B355" s="21"/>
      <c r="C355" s="21"/>
      <c r="D355" s="21"/>
    </row>
    <row r="356" spans="1:4" x14ac:dyDescent="0.25">
      <c r="A356" s="21"/>
      <c r="B356" s="21"/>
      <c r="C356" s="21"/>
      <c r="D356" s="21"/>
    </row>
    <row r="357" spans="1:4" x14ac:dyDescent="0.25">
      <c r="A357" s="21"/>
      <c r="B357" s="21"/>
      <c r="C357" s="21"/>
      <c r="D357" s="21"/>
    </row>
    <row r="358" spans="1:4" x14ac:dyDescent="0.25">
      <c r="A358" s="21"/>
      <c r="B358" s="21"/>
      <c r="C358" s="21"/>
      <c r="D358" s="21"/>
    </row>
    <row r="359" spans="1:4" x14ac:dyDescent="0.25">
      <c r="A359" s="21"/>
      <c r="B359" s="21"/>
      <c r="C359" s="21"/>
      <c r="D359" s="21"/>
    </row>
    <row r="360" spans="1:4" x14ac:dyDescent="0.25">
      <c r="A360" s="21"/>
      <c r="B360" s="21"/>
      <c r="C360" s="21"/>
      <c r="D360" s="21"/>
    </row>
    <row r="361" spans="1:4" x14ac:dyDescent="0.25">
      <c r="A361" s="21"/>
      <c r="B361" s="21"/>
      <c r="C361" s="21"/>
      <c r="D361" s="21"/>
    </row>
    <row r="362" spans="1:4" x14ac:dyDescent="0.25">
      <c r="A362" s="21"/>
      <c r="B362" s="21"/>
      <c r="C362" s="21"/>
      <c r="D362" s="21"/>
    </row>
    <row r="363" spans="1:4" x14ac:dyDescent="0.25">
      <c r="A363" s="21"/>
      <c r="B363" s="21"/>
      <c r="C363" s="21"/>
      <c r="D363" s="21"/>
    </row>
    <row r="364" spans="1:4" x14ac:dyDescent="0.25">
      <c r="A364" s="21"/>
      <c r="B364" s="21"/>
      <c r="C364" s="21"/>
      <c r="D364" s="21"/>
    </row>
    <row r="365" spans="1:4" x14ac:dyDescent="0.25">
      <c r="A365" s="21"/>
      <c r="B365" s="21"/>
      <c r="C365" s="21"/>
      <c r="D365" s="21"/>
    </row>
    <row r="366" spans="1:4" x14ac:dyDescent="0.25">
      <c r="A366" s="21"/>
      <c r="B366" s="21"/>
      <c r="C366" s="21"/>
      <c r="D366" s="21"/>
    </row>
    <row r="367" spans="1:4" x14ac:dyDescent="0.25">
      <c r="A367" s="21"/>
      <c r="B367" s="21"/>
      <c r="C367" s="21"/>
      <c r="D367" s="21"/>
    </row>
    <row r="368" spans="1:4" x14ac:dyDescent="0.25">
      <c r="A368" s="21"/>
      <c r="B368" s="21"/>
      <c r="C368" s="21"/>
      <c r="D368" s="21"/>
    </row>
    <row r="369" spans="1:4" x14ac:dyDescent="0.25">
      <c r="A369" s="21"/>
      <c r="B369" s="21"/>
      <c r="C369" s="21"/>
      <c r="D369" s="21"/>
    </row>
    <row r="370" spans="1:4" x14ac:dyDescent="0.25">
      <c r="A370" s="21"/>
      <c r="B370" s="21"/>
      <c r="C370" s="21"/>
      <c r="D370" s="21"/>
    </row>
    <row r="371" spans="1:4" x14ac:dyDescent="0.25">
      <c r="A371" s="21"/>
      <c r="B371" s="21"/>
      <c r="C371" s="21"/>
      <c r="D371" s="21"/>
    </row>
    <row r="372" spans="1:4" x14ac:dyDescent="0.25">
      <c r="A372" s="21"/>
      <c r="B372" s="21"/>
      <c r="C372" s="21"/>
      <c r="D372" s="21"/>
    </row>
    <row r="373" spans="1:4" x14ac:dyDescent="0.25">
      <c r="A373" s="21"/>
      <c r="B373" s="21"/>
      <c r="C373" s="21"/>
      <c r="D373" s="21"/>
    </row>
    <row r="374" spans="1:4" x14ac:dyDescent="0.25">
      <c r="A374" s="21"/>
      <c r="B374" s="21"/>
      <c r="C374" s="21"/>
      <c r="D374" s="21"/>
    </row>
    <row r="375" spans="1:4" x14ac:dyDescent="0.25">
      <c r="A375" s="21"/>
      <c r="B375" s="21"/>
      <c r="C375" s="21"/>
      <c r="D375" s="21"/>
    </row>
    <row r="376" spans="1:4" x14ac:dyDescent="0.25">
      <c r="A376" s="21"/>
      <c r="B376" s="21"/>
      <c r="C376" s="21"/>
      <c r="D376" s="21"/>
    </row>
    <row r="377" spans="1:4" x14ac:dyDescent="0.25">
      <c r="A377" s="21"/>
      <c r="B377" s="21"/>
      <c r="C377" s="21"/>
      <c r="D377" s="21"/>
    </row>
    <row r="378" spans="1:4" x14ac:dyDescent="0.25">
      <c r="A378" s="21"/>
      <c r="B378" s="21"/>
      <c r="C378" s="21"/>
      <c r="D378" s="21"/>
    </row>
    <row r="379" spans="1:4" x14ac:dyDescent="0.25">
      <c r="A379" s="21"/>
      <c r="B379" s="21"/>
      <c r="C379" s="21"/>
      <c r="D379" s="21"/>
    </row>
    <row r="380" spans="1:4" x14ac:dyDescent="0.25">
      <c r="A380" s="21"/>
      <c r="B380" s="21"/>
      <c r="C380" s="21"/>
      <c r="D380" s="21"/>
    </row>
    <row r="381" spans="1:4" x14ac:dyDescent="0.25">
      <c r="A381" s="21"/>
      <c r="B381" s="21"/>
      <c r="C381" s="21"/>
      <c r="D381" s="21"/>
    </row>
    <row r="382" spans="1:4" x14ac:dyDescent="0.25">
      <c r="A382" s="21"/>
      <c r="B382" s="21"/>
      <c r="C382" s="21"/>
      <c r="D382" s="21"/>
    </row>
    <row r="383" spans="1:4" x14ac:dyDescent="0.25">
      <c r="A383" s="21"/>
      <c r="B383" s="21"/>
      <c r="C383" s="21"/>
      <c r="D383" s="21"/>
    </row>
    <row r="384" spans="1:4" x14ac:dyDescent="0.25">
      <c r="A384" s="21"/>
      <c r="B384" s="21"/>
      <c r="C384" s="21"/>
      <c r="D384" s="21"/>
    </row>
    <row r="385" spans="1:4" x14ac:dyDescent="0.25">
      <c r="A385" s="21"/>
      <c r="B385" s="21"/>
      <c r="C385" s="21"/>
      <c r="D385" s="21"/>
    </row>
    <row r="386" spans="1:4" x14ac:dyDescent="0.25">
      <c r="A386" s="21"/>
      <c r="B386" s="21"/>
      <c r="C386" s="21"/>
      <c r="D386" s="21"/>
    </row>
    <row r="387" spans="1:4" x14ac:dyDescent="0.25">
      <c r="A387" s="21"/>
      <c r="B387" s="21"/>
      <c r="C387" s="21"/>
      <c r="D387" s="21"/>
    </row>
    <row r="388" spans="1:4" x14ac:dyDescent="0.25">
      <c r="A388" s="21"/>
      <c r="B388" s="21"/>
      <c r="C388" s="21"/>
      <c r="D388" s="21"/>
    </row>
    <row r="389" spans="1:4" x14ac:dyDescent="0.25">
      <c r="A389" s="21"/>
      <c r="B389" s="21"/>
      <c r="C389" s="21"/>
      <c r="D389" s="21"/>
    </row>
    <row r="390" spans="1:4" x14ac:dyDescent="0.25">
      <c r="A390" s="21"/>
      <c r="B390" s="21"/>
      <c r="C390" s="21"/>
      <c r="D390" s="21"/>
    </row>
    <row r="391" spans="1:4" x14ac:dyDescent="0.25">
      <c r="A391" s="21"/>
      <c r="B391" s="21"/>
      <c r="C391" s="21"/>
      <c r="D391" s="21"/>
    </row>
    <row r="392" spans="1:4" x14ac:dyDescent="0.25">
      <c r="A392" s="21"/>
      <c r="B392" s="21"/>
      <c r="C392" s="21"/>
      <c r="D392" s="21"/>
    </row>
    <row r="393" spans="1:4" x14ac:dyDescent="0.25">
      <c r="A393" s="21"/>
      <c r="B393" s="21"/>
      <c r="C393" s="21"/>
      <c r="D393" s="21"/>
    </row>
    <row r="394" spans="1:4" x14ac:dyDescent="0.25">
      <c r="A394" s="21"/>
      <c r="B394" s="21"/>
      <c r="C394" s="21"/>
      <c r="D394" s="21"/>
    </row>
    <row r="395" spans="1:4" x14ac:dyDescent="0.25">
      <c r="A395" s="21"/>
      <c r="B395" s="21"/>
      <c r="C395" s="21"/>
      <c r="D395" s="21"/>
    </row>
    <row r="396" spans="1:4" x14ac:dyDescent="0.25">
      <c r="A396" s="21"/>
      <c r="B396" s="21"/>
      <c r="C396" s="21"/>
      <c r="D396" s="21"/>
    </row>
    <row r="397" spans="1:4" x14ac:dyDescent="0.25">
      <c r="A397" s="21"/>
      <c r="B397" s="21"/>
      <c r="C397" s="21"/>
      <c r="D397" s="21"/>
    </row>
    <row r="398" spans="1:4" x14ac:dyDescent="0.25">
      <c r="A398" s="21"/>
      <c r="B398" s="21"/>
      <c r="C398" s="21"/>
      <c r="D398" s="21"/>
    </row>
    <row r="399" spans="1:4" x14ac:dyDescent="0.25">
      <c r="A399" s="21"/>
      <c r="B399" s="21"/>
      <c r="C399" s="21"/>
      <c r="D399" s="21"/>
    </row>
    <row r="400" spans="1:4" x14ac:dyDescent="0.25">
      <c r="A400" s="21"/>
      <c r="B400" s="21"/>
      <c r="C400" s="21"/>
      <c r="D400" s="21"/>
    </row>
    <row r="401" spans="1:4" x14ac:dyDescent="0.25">
      <c r="A401" s="21"/>
      <c r="B401" s="21"/>
      <c r="C401" s="21"/>
      <c r="D401" s="21"/>
    </row>
    <row r="402" spans="1:4" x14ac:dyDescent="0.25">
      <c r="A402" s="21"/>
      <c r="B402" s="21"/>
      <c r="C402" s="21"/>
      <c r="D402" s="21"/>
    </row>
    <row r="403" spans="1:4" x14ac:dyDescent="0.25">
      <c r="A403" s="21"/>
      <c r="B403" s="21"/>
      <c r="C403" s="21"/>
      <c r="D403" s="21"/>
    </row>
    <row r="404" spans="1:4" x14ac:dyDescent="0.25">
      <c r="A404" s="21"/>
      <c r="B404" s="21"/>
      <c r="C404" s="21"/>
      <c r="D404" s="21"/>
    </row>
    <row r="405" spans="1:4" x14ac:dyDescent="0.25">
      <c r="A405" s="21"/>
      <c r="B405" s="21"/>
      <c r="C405" s="21"/>
      <c r="D405" s="21"/>
    </row>
    <row r="406" spans="1:4" x14ac:dyDescent="0.25">
      <c r="A406" s="21"/>
      <c r="B406" s="21"/>
      <c r="C406" s="21"/>
      <c r="D406" s="21"/>
    </row>
    <row r="407" spans="1:4" x14ac:dyDescent="0.25">
      <c r="A407" s="21"/>
      <c r="B407" s="21"/>
      <c r="C407" s="21"/>
      <c r="D407" s="21"/>
    </row>
    <row r="408" spans="1:4" x14ac:dyDescent="0.25">
      <c r="A408" s="21"/>
      <c r="B408" s="21"/>
      <c r="C408" s="21"/>
      <c r="D408" s="21"/>
    </row>
    <row r="409" spans="1:4" x14ac:dyDescent="0.25">
      <c r="A409" s="21"/>
      <c r="B409" s="21"/>
      <c r="C409" s="21"/>
      <c r="D409" s="21"/>
    </row>
    <row r="410" spans="1:4" x14ac:dyDescent="0.25">
      <c r="A410" s="21"/>
      <c r="B410" s="21"/>
      <c r="C410" s="21"/>
      <c r="D410" s="21"/>
    </row>
    <row r="411" spans="1:4" x14ac:dyDescent="0.25">
      <c r="A411" s="21"/>
      <c r="B411" s="21"/>
      <c r="C411" s="21"/>
      <c r="D411" s="21"/>
    </row>
    <row r="412" spans="1:4" x14ac:dyDescent="0.25">
      <c r="A412" s="21"/>
      <c r="B412" s="21"/>
      <c r="C412" s="21"/>
      <c r="D412" s="21"/>
    </row>
    <row r="413" spans="1:4" x14ac:dyDescent="0.25">
      <c r="A413" s="21"/>
      <c r="B413" s="21"/>
      <c r="C413" s="21"/>
      <c r="D413" s="21"/>
    </row>
    <row r="414" spans="1:4" x14ac:dyDescent="0.25">
      <c r="A414" s="21"/>
      <c r="B414" s="21"/>
      <c r="C414" s="21"/>
      <c r="D414" s="21"/>
    </row>
    <row r="415" spans="1:4" x14ac:dyDescent="0.25">
      <c r="A415" s="21"/>
      <c r="B415" s="21"/>
      <c r="C415" s="21"/>
      <c r="D415" s="21"/>
    </row>
    <row r="416" spans="1:4" x14ac:dyDescent="0.25">
      <c r="A416" s="21"/>
      <c r="B416" s="21"/>
      <c r="C416" s="21"/>
      <c r="D416" s="21"/>
    </row>
    <row r="417" spans="1:4" x14ac:dyDescent="0.25">
      <c r="A417" s="21"/>
      <c r="B417" s="21"/>
      <c r="C417" s="21"/>
      <c r="D417" s="21"/>
    </row>
    <row r="418" spans="1:4" x14ac:dyDescent="0.25">
      <c r="A418" s="21"/>
      <c r="B418" s="21"/>
      <c r="C418" s="21"/>
      <c r="D418" s="21"/>
    </row>
    <row r="419" spans="1:4" x14ac:dyDescent="0.25">
      <c r="A419" s="21"/>
      <c r="B419" s="21"/>
      <c r="C419" s="21"/>
      <c r="D419" s="21"/>
    </row>
    <row r="420" spans="1:4" x14ac:dyDescent="0.25">
      <c r="A420" s="21"/>
      <c r="B420" s="21"/>
      <c r="C420" s="21"/>
      <c r="D420" s="21"/>
    </row>
    <row r="421" spans="1:4" x14ac:dyDescent="0.25">
      <c r="A421" s="21"/>
      <c r="B421" s="21"/>
      <c r="C421" s="21"/>
      <c r="D421" s="21"/>
    </row>
    <row r="422" spans="1:4" x14ac:dyDescent="0.25">
      <c r="A422" s="21"/>
      <c r="B422" s="21"/>
      <c r="C422" s="21"/>
      <c r="D422" s="21"/>
    </row>
    <row r="423" spans="1:4" x14ac:dyDescent="0.25">
      <c r="A423" s="21"/>
      <c r="B423" s="21"/>
      <c r="C423" s="21"/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>
      <selection sqref="A1:F19"/>
    </sheetView>
  </sheetViews>
  <sheetFormatPr defaultRowHeight="15" x14ac:dyDescent="0.25"/>
  <cols>
    <col min="1" max="1" width="7.28515625" style="17" bestFit="1" customWidth="1"/>
    <col min="2" max="2" width="10.5703125" style="17" bestFit="1" customWidth="1"/>
    <col min="3" max="3" width="11.28515625" style="17" bestFit="1" customWidth="1"/>
    <col min="4" max="4" width="13.7109375" style="17" bestFit="1" customWidth="1"/>
    <col min="5" max="5" width="10.42578125" style="17" bestFit="1" customWidth="1"/>
    <col min="6" max="6" width="9.140625" style="17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9" t="s">
        <v>0</v>
      </c>
      <c r="F1" s="17" t="s">
        <v>1</v>
      </c>
    </row>
    <row r="2" spans="1:15" x14ac:dyDescent="0.25">
      <c r="A2" s="19">
        <v>13126</v>
      </c>
      <c r="B2" s="17" t="s">
        <v>4</v>
      </c>
      <c r="C2" s="17" t="s">
        <v>41</v>
      </c>
      <c r="D2" s="17" t="s">
        <v>40</v>
      </c>
      <c r="E2" s="11">
        <v>0</v>
      </c>
      <c r="F2" s="21">
        <f>LOG10(5.5*10^5)</f>
        <v>5.7403626894942441</v>
      </c>
      <c r="I2" s="22"/>
      <c r="J2" s="22"/>
      <c r="O2" s="22"/>
    </row>
    <row r="3" spans="1:15" x14ac:dyDescent="0.25">
      <c r="A3" s="19">
        <v>13126</v>
      </c>
      <c r="B3" s="17" t="s">
        <v>4</v>
      </c>
      <c r="C3" s="17" t="s">
        <v>41</v>
      </c>
      <c r="D3" s="17" t="s">
        <v>40</v>
      </c>
      <c r="E3" s="11">
        <v>0.5</v>
      </c>
      <c r="F3" s="21">
        <f>LOG10(2*10^4)</f>
        <v>4.3010299956639813</v>
      </c>
      <c r="I3" s="22"/>
      <c r="J3" s="22"/>
      <c r="O3" s="22"/>
    </row>
    <row r="4" spans="1:15" x14ac:dyDescent="0.25">
      <c r="A4" s="19">
        <v>13126</v>
      </c>
      <c r="B4" s="17" t="s">
        <v>4</v>
      </c>
      <c r="C4" s="17" t="s">
        <v>41</v>
      </c>
      <c r="D4" s="17" t="s">
        <v>40</v>
      </c>
      <c r="E4" s="11">
        <v>1</v>
      </c>
      <c r="F4" s="21">
        <f>LOG10(3*10^2)</f>
        <v>2.4771212547196626</v>
      </c>
      <c r="I4" s="22"/>
      <c r="J4" s="22"/>
      <c r="O4" s="22"/>
    </row>
    <row r="5" spans="1:15" x14ac:dyDescent="0.25">
      <c r="A5" s="19">
        <v>13126</v>
      </c>
      <c r="B5" s="17" t="s">
        <v>4</v>
      </c>
      <c r="C5" s="17" t="s">
        <v>41</v>
      </c>
      <c r="D5" s="17" t="s">
        <v>40</v>
      </c>
      <c r="E5" s="11">
        <v>2</v>
      </c>
      <c r="F5" s="21">
        <f>LOG10(6.3*10^3)</f>
        <v>3.7993405494535817</v>
      </c>
      <c r="I5" s="22"/>
      <c r="J5" s="22"/>
      <c r="O5" s="22"/>
    </row>
    <row r="6" spans="1:15" x14ac:dyDescent="0.25">
      <c r="A6" s="19">
        <v>13126</v>
      </c>
      <c r="B6" s="17" t="s">
        <v>4</v>
      </c>
      <c r="C6" s="17" t="s">
        <v>41</v>
      </c>
      <c r="D6" s="17" t="s">
        <v>40</v>
      </c>
      <c r="E6" s="11">
        <v>3</v>
      </c>
      <c r="F6" s="21">
        <f>LOG10(1.465*10^3)</f>
        <v>3.1658376246901283</v>
      </c>
      <c r="I6" s="22"/>
      <c r="J6" s="22"/>
    </row>
    <row r="7" spans="1:15" x14ac:dyDescent="0.25">
      <c r="A7" s="19">
        <v>13126</v>
      </c>
      <c r="B7" s="17" t="s">
        <v>4</v>
      </c>
      <c r="C7" s="17" t="s">
        <v>41</v>
      </c>
      <c r="D7" s="17" t="s">
        <v>40</v>
      </c>
      <c r="E7" s="11">
        <v>4</v>
      </c>
      <c r="F7" s="21">
        <f>LOG10(3.5*10^3)</f>
        <v>3.5440680443502757</v>
      </c>
    </row>
    <row r="8" spans="1:15" x14ac:dyDescent="0.25">
      <c r="A8" s="19">
        <v>13126</v>
      </c>
      <c r="B8" s="17" t="s">
        <v>5</v>
      </c>
      <c r="C8" s="17" t="s">
        <v>41</v>
      </c>
      <c r="D8" s="17" t="s">
        <v>40</v>
      </c>
      <c r="E8" s="11">
        <v>0</v>
      </c>
      <c r="F8" s="21">
        <f>LOG10(8.3*10^5)</f>
        <v>5.9190780923760737</v>
      </c>
    </row>
    <row r="9" spans="1:15" x14ac:dyDescent="0.25">
      <c r="A9" s="19">
        <v>13126</v>
      </c>
      <c r="B9" s="17" t="s">
        <v>5</v>
      </c>
      <c r="C9" s="17" t="s">
        <v>41</v>
      </c>
      <c r="D9" s="17" t="s">
        <v>40</v>
      </c>
      <c r="E9" s="11">
        <v>0.5</v>
      </c>
      <c r="F9" s="21">
        <f>LOG10(1.27*10^4)</f>
        <v>4.1038037209559572</v>
      </c>
    </row>
    <row r="10" spans="1:15" x14ac:dyDescent="0.25">
      <c r="A10" s="19">
        <v>13126</v>
      </c>
      <c r="B10" s="17" t="s">
        <v>5</v>
      </c>
      <c r="C10" s="17" t="s">
        <v>41</v>
      </c>
      <c r="D10" s="17" t="s">
        <v>40</v>
      </c>
      <c r="E10" s="11">
        <v>1</v>
      </c>
      <c r="F10" s="21">
        <f>LOG10(2.1*10^3)</f>
        <v>3.3222192947339191</v>
      </c>
    </row>
    <row r="11" spans="1:15" x14ac:dyDescent="0.25">
      <c r="A11" s="19">
        <v>13126</v>
      </c>
      <c r="B11" s="17" t="s">
        <v>5</v>
      </c>
      <c r="C11" s="17" t="s">
        <v>41</v>
      </c>
      <c r="D11" s="17" t="s">
        <v>40</v>
      </c>
      <c r="E11" s="11">
        <v>2</v>
      </c>
      <c r="F11" s="21">
        <f>LOG10(4.3*10^2)</f>
        <v>2.6334684555795866</v>
      </c>
    </row>
    <row r="12" spans="1:15" x14ac:dyDescent="0.25">
      <c r="A12" s="19">
        <v>13126</v>
      </c>
      <c r="B12" s="17" t="s">
        <v>5</v>
      </c>
      <c r="C12" s="17" t="s">
        <v>41</v>
      </c>
      <c r="D12" s="17" t="s">
        <v>40</v>
      </c>
      <c r="E12" s="11">
        <v>3</v>
      </c>
      <c r="F12" s="21">
        <f>LOG10(4*10^2)</f>
        <v>2.6020599913279625</v>
      </c>
    </row>
    <row r="13" spans="1:15" x14ac:dyDescent="0.25">
      <c r="A13" s="19">
        <v>13126</v>
      </c>
      <c r="B13" s="17" t="s">
        <v>5</v>
      </c>
      <c r="C13" s="17" t="s">
        <v>41</v>
      </c>
      <c r="D13" s="17" t="s">
        <v>40</v>
      </c>
      <c r="E13" s="11">
        <v>4</v>
      </c>
      <c r="F13" s="21">
        <f>LOG10(3*10^2)</f>
        <v>2.4771212547196626</v>
      </c>
    </row>
    <row r="14" spans="1:15" x14ac:dyDescent="0.25">
      <c r="A14" s="19">
        <v>13126</v>
      </c>
      <c r="B14" s="17" t="s">
        <v>6</v>
      </c>
      <c r="C14" s="17" t="s">
        <v>41</v>
      </c>
      <c r="D14" s="17" t="s">
        <v>40</v>
      </c>
      <c r="E14" s="11">
        <v>0</v>
      </c>
      <c r="F14" s="21">
        <f>LOG10(8*10^5)</f>
        <v>5.9030899869919438</v>
      </c>
    </row>
    <row r="15" spans="1:15" x14ac:dyDescent="0.25">
      <c r="A15" s="19">
        <v>13126</v>
      </c>
      <c r="B15" s="17" t="s">
        <v>6</v>
      </c>
      <c r="C15" s="17" t="s">
        <v>41</v>
      </c>
      <c r="D15" s="17" t="s">
        <v>40</v>
      </c>
      <c r="E15" s="11">
        <v>0.5</v>
      </c>
      <c r="F15" s="21">
        <f>LOG10(2.07*10^3)</f>
        <v>3.3159703454569178</v>
      </c>
    </row>
    <row r="16" spans="1:15" x14ac:dyDescent="0.25">
      <c r="A16" s="19">
        <v>13126</v>
      </c>
      <c r="B16" s="17" t="s">
        <v>6</v>
      </c>
      <c r="C16" s="17" t="s">
        <v>41</v>
      </c>
      <c r="D16" s="17" t="s">
        <v>40</v>
      </c>
      <c r="E16" s="11">
        <v>1</v>
      </c>
      <c r="F16" s="21">
        <f>LOG10(5*10^3)</f>
        <v>3.6989700043360187</v>
      </c>
    </row>
    <row r="17" spans="1:6" x14ac:dyDescent="0.25">
      <c r="A17" s="19">
        <v>13126</v>
      </c>
      <c r="B17" s="17" t="s">
        <v>6</v>
      </c>
      <c r="C17" s="17" t="s">
        <v>41</v>
      </c>
      <c r="D17" s="17" t="s">
        <v>40</v>
      </c>
      <c r="E17" s="11">
        <v>2</v>
      </c>
      <c r="F17" s="21">
        <f>LOG10(6.7*10^2)</f>
        <v>2.8260748027008264</v>
      </c>
    </row>
    <row r="18" spans="1:6" x14ac:dyDescent="0.25">
      <c r="A18" s="19">
        <v>13126</v>
      </c>
      <c r="B18" s="17" t="s">
        <v>6</v>
      </c>
      <c r="C18" s="17" t="s">
        <v>41</v>
      </c>
      <c r="D18" s="17" t="s">
        <v>40</v>
      </c>
      <c r="E18" s="11">
        <v>3</v>
      </c>
      <c r="F18" s="21">
        <f>LOG10(2.65*10^4)</f>
        <v>4.4232458739368079</v>
      </c>
    </row>
    <row r="19" spans="1:6" x14ac:dyDescent="0.25">
      <c r="A19" s="19">
        <v>13126</v>
      </c>
      <c r="B19" s="17" t="s">
        <v>6</v>
      </c>
      <c r="C19" s="17" t="s">
        <v>41</v>
      </c>
      <c r="D19" s="17" t="s">
        <v>40</v>
      </c>
      <c r="E19" s="11">
        <v>4</v>
      </c>
      <c r="F19" s="21">
        <f>LOG10(5*10^3)</f>
        <v>3.6989700043360187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3.285156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5.540329474790874</v>
      </c>
      <c r="C2" s="11">
        <f t="shared" ref="C2:C19" si="0" xml:space="preserve"> LOG((10^$G$5 - 10^$G$4) * EXP(-$G$3 *A2 )  + 10^$G$4)</f>
        <v>5.7187956362261625</v>
      </c>
      <c r="D2" s="11">
        <f t="shared" ref="D2:D19" si="1" xml:space="preserve"> (B2 - C2)^2</f>
        <v>3.1850170777446452E-2</v>
      </c>
      <c r="E2" s="5"/>
      <c r="F2" s="5"/>
      <c r="G2" s="5"/>
      <c r="H2" s="5"/>
      <c r="I2" s="5"/>
      <c r="J2" s="5"/>
      <c r="K2" s="5"/>
      <c r="L2" s="6" t="s">
        <v>20</v>
      </c>
      <c r="M2" s="22">
        <v>0.13795505714548534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4.0681858617461613</v>
      </c>
      <c r="C3" s="11">
        <f t="shared" si="0"/>
        <v>4.0919918996179341</v>
      </c>
      <c r="D3" s="11">
        <f t="shared" si="1"/>
        <v>5.6672743915228186E-4</v>
      </c>
      <c r="E3" s="5"/>
      <c r="F3" s="5" t="s">
        <v>13</v>
      </c>
      <c r="G3" s="22">
        <v>8.0993389414585817</v>
      </c>
      <c r="H3" s="22">
        <v>1.6834477947525914</v>
      </c>
      <c r="I3" s="5"/>
      <c r="J3" s="5"/>
      <c r="K3" s="5"/>
      <c r="L3" s="6" t="s">
        <v>23</v>
      </c>
      <c r="M3" s="22">
        <f>SQRT(M2)</f>
        <v>0.37142301644551506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3.7781512503836434</v>
      </c>
      <c r="C4" s="11">
        <f t="shared" si="0"/>
        <v>3.5382665992773457</v>
      </c>
      <c r="D4" s="11">
        <f t="shared" si="1"/>
        <v>5.7544645836390199E-2</v>
      </c>
      <c r="E4" s="5"/>
      <c r="F4" s="5" t="s">
        <v>30</v>
      </c>
      <c r="G4" s="22">
        <v>3.5179337389015095</v>
      </c>
      <c r="H4" s="22">
        <v>0.10951806490345517</v>
      </c>
      <c r="I4" s="5"/>
      <c r="J4" s="5"/>
      <c r="K4" s="5"/>
      <c r="L4" s="6" t="s">
        <v>21</v>
      </c>
      <c r="M4" s="22">
        <v>0.84900013854095224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3.0530784434834195</v>
      </c>
      <c r="C5" s="11">
        <f t="shared" si="0"/>
        <v>3.5179400616106196</v>
      </c>
      <c r="D5" s="11">
        <f t="shared" si="1"/>
        <v>0.21609632400783876</v>
      </c>
      <c r="E5" s="5"/>
      <c r="F5" s="5" t="s">
        <v>14</v>
      </c>
      <c r="G5" s="22">
        <v>5.7187956362261616</v>
      </c>
      <c r="H5" s="22">
        <v>0.21426654902938061</v>
      </c>
      <c r="I5" s="5"/>
      <c r="J5" s="5"/>
      <c r="K5" s="5"/>
      <c r="L5" s="6" t="s">
        <v>22</v>
      </c>
      <c r="M5" s="22">
        <v>0.82886682367974585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3.6989700043360187</v>
      </c>
      <c r="C6" s="11">
        <f t="shared" si="0"/>
        <v>3.5179337408219826</v>
      </c>
      <c r="D6" s="11">
        <f t="shared" si="1"/>
        <v>3.2774128707123526E-2</v>
      </c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4</v>
      </c>
      <c r="C7" s="11">
        <f t="shared" si="0"/>
        <v>3.517933738902093</v>
      </c>
      <c r="D7" s="11">
        <f t="shared" si="1"/>
        <v>0.23238788008891539</v>
      </c>
      <c r="E7" s="5"/>
      <c r="F7" s="4" t="s">
        <v>24</v>
      </c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5.826074802700826</v>
      </c>
      <c r="C8" s="11">
        <f t="shared" si="0"/>
        <v>5.7187956362261625</v>
      </c>
      <c r="D8" s="11">
        <f t="shared" si="1"/>
        <v>1.1508819559498567E-2</v>
      </c>
      <c r="E8" s="5"/>
      <c r="F8" s="5" t="s">
        <v>31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3.7558748556724915</v>
      </c>
      <c r="C9" s="11">
        <f t="shared" si="0"/>
        <v>4.0919918996179341</v>
      </c>
      <c r="D9" s="11">
        <f t="shared" si="1"/>
        <v>0.11297466723062261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2.8450980400142569</v>
      </c>
      <c r="C10" s="11">
        <f t="shared" si="0"/>
        <v>3.5382665992773457</v>
      </c>
      <c r="D10" s="11">
        <f t="shared" si="1"/>
        <v>0.48048265155086617</v>
      </c>
      <c r="E10" s="5"/>
      <c r="F10" s="5" t="s">
        <v>32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3.3283796034387376</v>
      </c>
      <c r="C11" s="11">
        <f t="shared" si="0"/>
        <v>3.5179400616106196</v>
      </c>
      <c r="D11" s="11">
        <f t="shared" si="1"/>
        <v>3.5933167302333806E-2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3.5440680443502757</v>
      </c>
      <c r="C12" s="11">
        <f t="shared" si="0"/>
        <v>3.5179337408219826</v>
      </c>
      <c r="D12" s="11">
        <f t="shared" si="1"/>
        <v>6.8300182090895033E-4</v>
      </c>
      <c r="E12" s="5"/>
      <c r="F12" s="29" t="s">
        <v>27</v>
      </c>
      <c r="G12" s="30"/>
      <c r="H12" s="30"/>
      <c r="I12" s="30"/>
      <c r="J12" s="30"/>
      <c r="K12" s="30"/>
      <c r="L12" s="30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3.8129133566428557</v>
      </c>
      <c r="C13" s="11">
        <f t="shared" si="0"/>
        <v>3.517933738902093</v>
      </c>
      <c r="D13" s="11">
        <f t="shared" si="1"/>
        <v>8.7012974882486452E-2</v>
      </c>
      <c r="E13" s="5"/>
      <c r="F13" s="30"/>
      <c r="G13" s="30"/>
      <c r="H13" s="30"/>
      <c r="I13" s="30"/>
      <c r="J13" s="30"/>
      <c r="K13" s="30"/>
      <c r="L13" s="30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5.7993405494535821</v>
      </c>
      <c r="C14" s="11">
        <f t="shared" si="0"/>
        <v>5.7187956362261625</v>
      </c>
      <c r="D14" s="11">
        <f t="shared" si="1"/>
        <v>6.4874830468125587E-3</v>
      </c>
      <c r="E14" s="5"/>
      <c r="F14" s="30"/>
      <c r="G14" s="30"/>
      <c r="H14" s="30"/>
      <c r="I14" s="30"/>
      <c r="J14" s="30"/>
      <c r="K14" s="30"/>
      <c r="L14" s="30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4.426511261364575</v>
      </c>
      <c r="C15" s="11">
        <f t="shared" si="0"/>
        <v>4.0919918996179341</v>
      </c>
      <c r="D15" s="11">
        <f t="shared" si="1"/>
        <v>0.11190320338337997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4.195899652409234</v>
      </c>
      <c r="C16" s="11">
        <f t="shared" si="0"/>
        <v>3.5382665992773457</v>
      </c>
      <c r="D16" s="11">
        <f t="shared" si="1"/>
        <v>0.43248123257156912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3.0791812460476247</v>
      </c>
      <c r="C17" s="11">
        <f t="shared" si="0"/>
        <v>3.5179400616106196</v>
      </c>
      <c r="D17" s="11">
        <f t="shared" si="1"/>
        <v>0.19250929823424218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3.3710678622717363</v>
      </c>
      <c r="C18" s="11">
        <f t="shared" si="0"/>
        <v>3.5179337408219826</v>
      </c>
      <c r="D18" s="11">
        <f t="shared" si="1"/>
        <v>2.1569586282335712E-2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3.5854607295085006</v>
      </c>
      <c r="C19" s="11">
        <f t="shared" si="0"/>
        <v>3.517933738902093</v>
      </c>
      <c r="D19" s="11">
        <f t="shared" si="1"/>
        <v>4.5598944603578526E-3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2.0693258571822799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 xml:space="preserve"> LOG((10^$G$5 - 10^$G$4) * EXP(-$G$3 *A23 )  + 10^$G$4)</f>
        <v>5.7187956362261625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0.04</v>
      </c>
      <c r="B24" s="21"/>
      <c r="C24" s="21">
        <f t="shared" ref="C24:C87" si="2" xml:space="preserve"> LOG((10^$G$5 - 10^$G$4) * EXP(-$G$3 *A24 )  + 10^$G$4)</f>
        <v>5.5791408056322549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0.08</v>
      </c>
      <c r="B25" s="21"/>
      <c r="C25" s="21">
        <f t="shared" si="2"/>
        <v>5.4398817107453006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0.12</v>
      </c>
      <c r="B26" s="21"/>
      <c r="C26" s="21">
        <f t="shared" si="2"/>
        <v>5.3011660533978997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0.16</v>
      </c>
      <c r="B27" s="21"/>
      <c r="C27" s="21">
        <f t="shared" si="2"/>
        <v>5.1631947517835934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0.2</v>
      </c>
      <c r="B28" s="21"/>
      <c r="C28" s="21">
        <f t="shared" si="2"/>
        <v>5.026239435300063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0.24000000000000002</v>
      </c>
      <c r="B29" s="21"/>
      <c r="C29" s="21">
        <f t="shared" si="2"/>
        <v>4.8906642358211814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0.29149999999999998</v>
      </c>
      <c r="B30" s="21"/>
      <c r="C30" s="21">
        <f t="shared" si="2"/>
        <v>4.7189386714163071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0.32</v>
      </c>
      <c r="B31" s="21"/>
      <c r="C31" s="21">
        <f t="shared" si="2"/>
        <v>4.6257310097931139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0.36</v>
      </c>
      <c r="B32" s="21"/>
      <c r="C32" s="21">
        <f t="shared" si="2"/>
        <v>4.4978055057153696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0.39999999999999997</v>
      </c>
      <c r="B33" s="21"/>
      <c r="C33" s="21">
        <f t="shared" si="2"/>
        <v>4.374170692074494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0.43999999999999995</v>
      </c>
      <c r="B34" s="21"/>
      <c r="C34" s="21">
        <f t="shared" si="2"/>
        <v>4.25601237559259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0.47999999999999993</v>
      </c>
      <c r="B35" s="21"/>
      <c r="C35" s="21">
        <f t="shared" si="2"/>
        <v>4.1446687925834373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0.51999999999999991</v>
      </c>
      <c r="B36" s="21"/>
      <c r="C36" s="21">
        <f t="shared" si="2"/>
        <v>4.0415425782503025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0.55999999999999994</v>
      </c>
      <c r="B37" s="21"/>
      <c r="C37" s="21">
        <f t="shared" si="2"/>
        <v>3.9479579572760093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0.6</v>
      </c>
      <c r="B38" s="21"/>
      <c r="C38" s="21">
        <f t="shared" si="2"/>
        <v>3.8649794408613607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0.64</v>
      </c>
      <c r="B39" s="21"/>
      <c r="C39" s="21">
        <f t="shared" si="2"/>
        <v>3.793233987989642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0.68</v>
      </c>
      <c r="B40" s="21"/>
      <c r="C40" s="21">
        <f t="shared" si="2"/>
        <v>3.7327930855314206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0.72000000000000008</v>
      </c>
      <c r="B41" s="21"/>
      <c r="C41" s="21">
        <f t="shared" si="2"/>
        <v>3.6831586878763019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0.76000000000000012</v>
      </c>
      <c r="B42" s="21"/>
      <c r="C42" s="21">
        <f t="shared" si="2"/>
        <v>3.6433585609552299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0.80000000000000016</v>
      </c>
      <c r="B43" s="21"/>
      <c r="C43" s="21">
        <f t="shared" si="2"/>
        <v>3.6121146896015937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0.84000000000000019</v>
      </c>
      <c r="B44" s="21"/>
      <c r="C44" s="21">
        <f t="shared" si="2"/>
        <v>3.5880285093681215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0.88000000000000023</v>
      </c>
      <c r="B45" s="21"/>
      <c r="C45" s="21">
        <f t="shared" si="2"/>
        <v>3.569735672299696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0.92000000000000026</v>
      </c>
      <c r="B46" s="21"/>
      <c r="C46" s="21">
        <f t="shared" si="2"/>
        <v>3.5560077265984962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0.9600000000000003</v>
      </c>
      <c r="B47" s="21"/>
      <c r="C47" s="21">
        <f t="shared" si="2"/>
        <v>3.545801129256652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1.0000000000000002</v>
      </c>
      <c r="B48" s="21"/>
      <c r="C48" s="21">
        <f t="shared" si="2"/>
        <v>3.5382665992773457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1.0400000000000003</v>
      </c>
      <c r="B49" s="21"/>
      <c r="C49" s="21">
        <f t="shared" si="2"/>
        <v>3.5327344731227996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1.0800000000000003</v>
      </c>
      <c r="B50" s="21"/>
      <c r="C50" s="21">
        <f t="shared" si="2"/>
        <v>3.5286888784083268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1.1200000000000003</v>
      </c>
      <c r="B51" s="21"/>
      <c r="C51" s="21">
        <f t="shared" si="2"/>
        <v>3.5257391581027457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1.1600000000000004</v>
      </c>
      <c r="B52" s="21"/>
      <c r="C52" s="21">
        <f t="shared" si="2"/>
        <v>3.5235931608523705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1.2000000000000004</v>
      </c>
      <c r="B53" s="21"/>
      <c r="C53" s="21">
        <f t="shared" si="2"/>
        <v>3.5220343916205503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1.2400000000000004</v>
      </c>
      <c r="B54" s="21"/>
      <c r="C54" s="21">
        <f t="shared" si="2"/>
        <v>3.52090348474393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1.2800000000000005</v>
      </c>
      <c r="B55" s="21"/>
      <c r="C55" s="21">
        <f t="shared" si="2"/>
        <v>3.5200836952979677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1.3200000000000005</v>
      </c>
      <c r="B56" s="21"/>
      <c r="C56" s="21">
        <f t="shared" si="2"/>
        <v>3.5194898008475399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1.3600000000000005</v>
      </c>
      <c r="B57" s="21"/>
      <c r="C57" s="21">
        <f t="shared" si="2"/>
        <v>3.5190597484945494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1.4000000000000006</v>
      </c>
      <c r="B58" s="21"/>
      <c r="C58" s="21">
        <f t="shared" si="2"/>
        <v>3.5187484391987125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1.4400000000000006</v>
      </c>
      <c r="B59" s="21"/>
      <c r="C59" s="21">
        <f t="shared" si="2"/>
        <v>3.5185231395733192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1.4800000000000006</v>
      </c>
      <c r="B60" s="21"/>
      <c r="C60" s="21">
        <f t="shared" si="2"/>
        <v>3.5183601143867205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1.5200000000000007</v>
      </c>
      <c r="B61" s="21"/>
      <c r="C61" s="21">
        <f t="shared" si="2"/>
        <v>3.5182421651143554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1.5600000000000007</v>
      </c>
      <c r="B62" s="21"/>
      <c r="C62" s="21">
        <f t="shared" si="2"/>
        <v>3.5181568360511961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1.6000000000000008</v>
      </c>
      <c r="B63" s="21"/>
      <c r="C63" s="21">
        <f t="shared" si="2"/>
        <v>3.5180951097040247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1.6400000000000008</v>
      </c>
      <c r="B64" s="21"/>
      <c r="C64" s="21">
        <f t="shared" si="2"/>
        <v>3.5180504594599511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1.6800000000000008</v>
      </c>
      <c r="B65" s="21"/>
      <c r="C65" s="21">
        <f t="shared" si="2"/>
        <v>3.5180181624451468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1.7200000000000009</v>
      </c>
      <c r="B66" s="21"/>
      <c r="C66" s="21">
        <f t="shared" si="2"/>
        <v>3.5179948015068003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1.7600000000000009</v>
      </c>
      <c r="B67" s="21"/>
      <c r="C67" s="21">
        <f t="shared" si="2"/>
        <v>3.5179779044725703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1.8000000000000009</v>
      </c>
      <c r="B68" s="21"/>
      <c r="C68" s="21">
        <f t="shared" si="2"/>
        <v>3.5179656829556101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1.840000000000001</v>
      </c>
      <c r="B69" s="21"/>
      <c r="C69" s="21">
        <f t="shared" si="2"/>
        <v>3.5179568432924357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1.880000000000001</v>
      </c>
      <c r="B70" s="21"/>
      <c r="C70" s="21">
        <f t="shared" si="2"/>
        <v>3.5179504497227181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1.920000000000001</v>
      </c>
      <c r="B71" s="21"/>
      <c r="C71" s="21">
        <f t="shared" si="2"/>
        <v>3.5179458253909361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1.9600000000000011</v>
      </c>
      <c r="B72" s="21"/>
      <c r="C72" s="21">
        <f t="shared" si="2"/>
        <v>3.5179424807227293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2.0000000000000009</v>
      </c>
      <c r="B73" s="21"/>
      <c r="C73" s="21">
        <f t="shared" si="2"/>
        <v>3.5179400616106196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2.0400000000000009</v>
      </c>
      <c r="B74" s="21"/>
      <c r="C74" s="21">
        <f t="shared" si="2"/>
        <v>3.5179383119325376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2.080000000000001</v>
      </c>
      <c r="B75" s="21"/>
      <c r="C75" s="21">
        <f t="shared" si="2"/>
        <v>3.5179370464395858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2.120000000000001</v>
      </c>
      <c r="B76" s="21"/>
      <c r="C76" s="21">
        <f t="shared" si="2"/>
        <v>3.5179361311450013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2.160000000000001</v>
      </c>
      <c r="B77" s="21"/>
      <c r="C77" s="21">
        <f t="shared" si="2"/>
        <v>3.5179354691392644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2.2000000000000011</v>
      </c>
      <c r="B78" s="21"/>
      <c r="C78" s="21">
        <f t="shared" si="2"/>
        <v>3.5179349903301653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2.2400000000000011</v>
      </c>
      <c r="B79" s="21"/>
      <c r="C79" s="21">
        <f t="shared" si="2"/>
        <v>3.5179346440218824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2.2800000000000011</v>
      </c>
      <c r="B80" s="21"/>
      <c r="C80" s="21">
        <f t="shared" si="2"/>
        <v>3.5179343935475376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2.3200000000000012</v>
      </c>
      <c r="B81" s="21"/>
      <c r="C81" s="21">
        <f t="shared" si="2"/>
        <v>3.5179342123870265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2.3600000000000012</v>
      </c>
      <c r="B82" s="21"/>
      <c r="C82" s="21">
        <f t="shared" si="2"/>
        <v>3.5179340813591313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2.4000000000000012</v>
      </c>
      <c r="B83" s="21"/>
      <c r="C83" s="21">
        <f t="shared" si="2"/>
        <v>3.517933986590644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2.4400000000000013</v>
      </c>
      <c r="B84" s="21"/>
      <c r="C84" s="21">
        <f t="shared" si="2"/>
        <v>3.5179339180474871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2.4800000000000013</v>
      </c>
      <c r="B85" s="21"/>
      <c r="C85" s="21">
        <f t="shared" si="2"/>
        <v>3.5179338684723147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2.5200000000000014</v>
      </c>
      <c r="B86" s="21"/>
      <c r="C86" s="21">
        <f t="shared" si="2"/>
        <v>3.5179338326161078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2.5600000000000014</v>
      </c>
      <c r="B87" s="21"/>
      <c r="C87" s="21">
        <f t="shared" si="2"/>
        <v>3.51793380668241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2.6000000000000014</v>
      </c>
      <c r="B88" s="21"/>
      <c r="C88" s="21">
        <f t="shared" ref="C88:C122" si="3" xml:space="preserve"> LOG((10^$G$5 - 10^$G$4) * EXP(-$G$3 *A88 )  + 10^$G$4)</f>
        <v>3.5179337879253594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2.6400000000000015</v>
      </c>
      <c r="B89" s="21"/>
      <c r="C89" s="21">
        <f t="shared" si="3"/>
        <v>3.5179337743589589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2.6800000000000015</v>
      </c>
      <c r="B90" s="21"/>
      <c r="C90" s="21">
        <f t="shared" si="3"/>
        <v>3.5179337645467967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2.7200000000000015</v>
      </c>
      <c r="B91" s="21"/>
      <c r="C91" s="21">
        <f t="shared" si="3"/>
        <v>3.5179337574499607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2.7600000000000016</v>
      </c>
      <c r="B92" s="21"/>
      <c r="C92" s="21">
        <f t="shared" si="3"/>
        <v>3.517933752317036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2.8000000000000016</v>
      </c>
      <c r="B93" s="21"/>
      <c r="C93" s="21">
        <f t="shared" si="3"/>
        <v>3.5179337486045492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2.8400000000000016</v>
      </c>
      <c r="B94" s="21"/>
      <c r="C94" s="21">
        <f t="shared" si="3"/>
        <v>3.5179337459194207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2.8800000000000017</v>
      </c>
      <c r="B95" s="21"/>
      <c r="C95" s="21">
        <f t="shared" si="3"/>
        <v>3.5179337439773497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2.9200000000000017</v>
      </c>
      <c r="B96" s="21"/>
      <c r="C96" s="21">
        <f t="shared" si="3"/>
        <v>3.5179337425727093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2.9600000000000017</v>
      </c>
      <c r="B97" s="21"/>
      <c r="C97" s="21">
        <f t="shared" si="3"/>
        <v>3.5179337415567762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3.0000000000000018</v>
      </c>
      <c r="B98" s="21"/>
      <c r="C98" s="21">
        <f t="shared" si="3"/>
        <v>3.5179337408219826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3.0400000000000018</v>
      </c>
      <c r="B99" s="21"/>
      <c r="C99" s="21">
        <f t="shared" si="3"/>
        <v>3.5179337402905286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3.0800000000000018</v>
      </c>
      <c r="B100" s="21"/>
      <c r="C100" s="21">
        <f t="shared" si="3"/>
        <v>3.5179337399061446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3.1200000000000019</v>
      </c>
      <c r="B101" s="21"/>
      <c r="C101" s="21">
        <f t="shared" si="3"/>
        <v>3.5179337396281314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3.1600000000000019</v>
      </c>
      <c r="B102" s="21"/>
      <c r="C102" s="21">
        <f t="shared" si="3"/>
        <v>3.5179337394270531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3.200000000000002</v>
      </c>
      <c r="B103" s="21"/>
      <c r="C103" s="21">
        <f t="shared" si="3"/>
        <v>3.5179337392816188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3.240000000000002</v>
      </c>
      <c r="B104" s="21"/>
      <c r="C104" s="21">
        <f t="shared" si="3"/>
        <v>3.5179337391764309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3.280000000000002</v>
      </c>
      <c r="B105" s="21"/>
      <c r="C105" s="21">
        <f t="shared" si="3"/>
        <v>3.5179337391003518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3.3200000000000021</v>
      </c>
      <c r="B106" s="21"/>
      <c r="C106" s="21">
        <f t="shared" si="3"/>
        <v>3.517933739045326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3.3600000000000021</v>
      </c>
      <c r="B107" s="21"/>
      <c r="C107" s="21">
        <f t="shared" si="3"/>
        <v>3.5179337390055276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3.4000000000000021</v>
      </c>
      <c r="B108" s="21"/>
      <c r="C108" s="21">
        <f t="shared" si="3"/>
        <v>3.5179337389767427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3.4400000000000022</v>
      </c>
      <c r="B109" s="21"/>
      <c r="C109" s="21">
        <f t="shared" si="3"/>
        <v>3.5179337389559233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3.4800000000000022</v>
      </c>
      <c r="B110" s="21"/>
      <c r="C110" s="21">
        <f t="shared" si="3"/>
        <v>3.5179337389408656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3.5200000000000022</v>
      </c>
      <c r="B111" s="21"/>
      <c r="C111" s="21">
        <f t="shared" si="3"/>
        <v>3.5179337389299747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3.5600000000000023</v>
      </c>
      <c r="B112" s="21"/>
      <c r="C112" s="21">
        <f t="shared" si="3"/>
        <v>3.5179337389220975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3.6000000000000023</v>
      </c>
      <c r="B113" s="21"/>
      <c r="C113" s="21">
        <f t="shared" si="3"/>
        <v>3.5179337389164003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3.6400000000000023</v>
      </c>
      <c r="B114" s="21"/>
      <c r="C114" s="21">
        <f t="shared" si="3"/>
        <v>3.5179337389122796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3.6800000000000024</v>
      </c>
      <c r="B115" s="21"/>
      <c r="C115" s="21">
        <f t="shared" si="3"/>
        <v>3.5179337389092993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3.7200000000000024</v>
      </c>
      <c r="B116" s="21"/>
      <c r="C116" s="21">
        <f t="shared" si="3"/>
        <v>3.5179337389071437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3.7600000000000025</v>
      </c>
      <c r="B117" s="21"/>
      <c r="C117" s="21">
        <f t="shared" si="3"/>
        <v>3.5179337389055845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3.8000000000000025</v>
      </c>
      <c r="B118" s="21"/>
      <c r="C118" s="21">
        <f t="shared" si="3"/>
        <v>3.5179337389044569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3.8400000000000025</v>
      </c>
      <c r="B119" s="21"/>
      <c r="C119" s="21">
        <f t="shared" si="3"/>
        <v>3.5179337389036411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3.8800000000000026</v>
      </c>
      <c r="B120" s="21"/>
      <c r="C120" s="21">
        <f t="shared" si="3"/>
        <v>3.5179337389030514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3.9200000000000026</v>
      </c>
      <c r="B121" s="21"/>
      <c r="C121" s="21">
        <f t="shared" si="3"/>
        <v>3.5179337389026246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3.9600000000000026</v>
      </c>
      <c r="B122" s="21"/>
      <c r="C122" s="21">
        <f t="shared" si="3"/>
        <v>3.5179337389023164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>
      <selection sqref="A1:F19"/>
    </sheetView>
  </sheetViews>
  <sheetFormatPr defaultRowHeight="15" x14ac:dyDescent="0.25"/>
  <cols>
    <col min="1" max="1" width="7.28515625" style="17" bestFit="1" customWidth="1"/>
    <col min="2" max="2" width="10.5703125" style="17" bestFit="1" customWidth="1"/>
    <col min="3" max="3" width="11.7109375" style="17" bestFit="1" customWidth="1"/>
    <col min="4" max="4" width="13.7109375" style="17" bestFit="1" customWidth="1"/>
    <col min="5" max="5" width="10.42578125" style="17" bestFit="1" customWidth="1"/>
    <col min="6" max="6" width="9.140625" style="17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9" t="s">
        <v>0</v>
      </c>
      <c r="F1" s="17" t="s">
        <v>1</v>
      </c>
    </row>
    <row r="2" spans="1:15" x14ac:dyDescent="0.25">
      <c r="A2" s="19">
        <v>13126</v>
      </c>
      <c r="B2" s="17" t="s">
        <v>4</v>
      </c>
      <c r="C2" s="17" t="s">
        <v>42</v>
      </c>
      <c r="D2" s="17" t="s">
        <v>40</v>
      </c>
      <c r="E2" s="11">
        <v>0</v>
      </c>
      <c r="F2" s="21">
        <f>LOG10(3.47*10^5)</f>
        <v>5.540329474790874</v>
      </c>
      <c r="I2" s="22"/>
      <c r="J2" s="22"/>
      <c r="O2" s="22"/>
    </row>
    <row r="3" spans="1:15" x14ac:dyDescent="0.25">
      <c r="A3" s="19">
        <v>13126</v>
      </c>
      <c r="B3" s="17" t="s">
        <v>4</v>
      </c>
      <c r="C3" s="17" t="s">
        <v>42</v>
      </c>
      <c r="D3" s="17" t="s">
        <v>40</v>
      </c>
      <c r="E3" s="11">
        <v>0.5</v>
      </c>
      <c r="F3" s="21">
        <f>LOG10(1.17*10^4)</f>
        <v>4.0681858617461613</v>
      </c>
      <c r="I3" s="22"/>
      <c r="J3" s="22"/>
      <c r="O3" s="22"/>
    </row>
    <row r="4" spans="1:15" x14ac:dyDescent="0.25">
      <c r="A4" s="19">
        <v>13126</v>
      </c>
      <c r="B4" s="17" t="s">
        <v>4</v>
      </c>
      <c r="C4" s="17" t="s">
        <v>42</v>
      </c>
      <c r="D4" s="17" t="s">
        <v>40</v>
      </c>
      <c r="E4" s="11">
        <v>1</v>
      </c>
      <c r="F4" s="21">
        <f>LOG10(6*10^3)</f>
        <v>3.7781512503836434</v>
      </c>
      <c r="I4" s="22"/>
      <c r="J4" s="22"/>
      <c r="O4" s="22"/>
    </row>
    <row r="5" spans="1:15" x14ac:dyDescent="0.25">
      <c r="A5" s="19">
        <v>13126</v>
      </c>
      <c r="B5" s="17" t="s">
        <v>4</v>
      </c>
      <c r="C5" s="17" t="s">
        <v>42</v>
      </c>
      <c r="D5" s="17" t="s">
        <v>40</v>
      </c>
      <c r="E5" s="11">
        <v>2</v>
      </c>
      <c r="F5" s="21">
        <f>LOG10(1.13*10^3)</f>
        <v>3.0530784434834195</v>
      </c>
      <c r="I5" s="22"/>
      <c r="J5" s="22"/>
      <c r="O5" s="22"/>
    </row>
    <row r="6" spans="1:15" x14ac:dyDescent="0.25">
      <c r="A6" s="19">
        <v>13126</v>
      </c>
      <c r="B6" s="17" t="s">
        <v>4</v>
      </c>
      <c r="C6" s="17" t="s">
        <v>42</v>
      </c>
      <c r="D6" s="17" t="s">
        <v>40</v>
      </c>
      <c r="E6" s="11">
        <v>3</v>
      </c>
      <c r="F6" s="21">
        <f>LOG10(5*10^3)</f>
        <v>3.6989700043360187</v>
      </c>
      <c r="I6" s="22"/>
      <c r="J6" s="22"/>
    </row>
    <row r="7" spans="1:15" x14ac:dyDescent="0.25">
      <c r="A7" s="19">
        <v>13126</v>
      </c>
      <c r="B7" s="17" t="s">
        <v>4</v>
      </c>
      <c r="C7" s="17" t="s">
        <v>42</v>
      </c>
      <c r="D7" s="17" t="s">
        <v>40</v>
      </c>
      <c r="E7" s="11">
        <v>4</v>
      </c>
      <c r="F7" s="21">
        <v>4</v>
      </c>
    </row>
    <row r="8" spans="1:15" x14ac:dyDescent="0.25">
      <c r="A8" s="19">
        <v>13126</v>
      </c>
      <c r="B8" s="17" t="s">
        <v>5</v>
      </c>
      <c r="C8" s="17" t="s">
        <v>42</v>
      </c>
      <c r="D8" s="17" t="s">
        <v>40</v>
      </c>
      <c r="E8" s="11">
        <v>0</v>
      </c>
      <c r="F8" s="21">
        <f>LOG10(6.7*10^5)</f>
        <v>5.826074802700826</v>
      </c>
    </row>
    <row r="9" spans="1:15" x14ac:dyDescent="0.25">
      <c r="A9" s="19">
        <v>13126</v>
      </c>
      <c r="B9" s="17" t="s">
        <v>5</v>
      </c>
      <c r="C9" s="17" t="s">
        <v>42</v>
      </c>
      <c r="D9" s="17" t="s">
        <v>40</v>
      </c>
      <c r="E9" s="11">
        <v>0.5</v>
      </c>
      <c r="F9" s="21">
        <f>LOG10(5.7*10^3)</f>
        <v>3.7558748556724915</v>
      </c>
    </row>
    <row r="10" spans="1:15" x14ac:dyDescent="0.25">
      <c r="A10" s="19">
        <v>13126</v>
      </c>
      <c r="B10" s="17" t="s">
        <v>5</v>
      </c>
      <c r="C10" s="17" t="s">
        <v>42</v>
      </c>
      <c r="D10" s="17" t="s">
        <v>40</v>
      </c>
      <c r="E10" s="11">
        <v>1</v>
      </c>
      <c r="F10" s="21">
        <f>LOG10(7*10^2)</f>
        <v>2.8450980400142569</v>
      </c>
    </row>
    <row r="11" spans="1:15" x14ac:dyDescent="0.25">
      <c r="A11" s="19">
        <v>13126</v>
      </c>
      <c r="B11" s="17" t="s">
        <v>5</v>
      </c>
      <c r="C11" s="17" t="s">
        <v>42</v>
      </c>
      <c r="D11" s="17" t="s">
        <v>40</v>
      </c>
      <c r="E11" s="11">
        <v>2</v>
      </c>
      <c r="F11" s="21">
        <f>LOG10(2.13*10^3)</f>
        <v>3.3283796034387376</v>
      </c>
    </row>
    <row r="12" spans="1:15" x14ac:dyDescent="0.25">
      <c r="A12" s="19">
        <v>13126</v>
      </c>
      <c r="B12" s="17" t="s">
        <v>5</v>
      </c>
      <c r="C12" s="17" t="s">
        <v>42</v>
      </c>
      <c r="D12" s="17" t="s">
        <v>40</v>
      </c>
      <c r="E12" s="11">
        <v>3</v>
      </c>
      <c r="F12" s="21">
        <f>LOG10(3.5*10^3)</f>
        <v>3.5440680443502757</v>
      </c>
    </row>
    <row r="13" spans="1:15" x14ac:dyDescent="0.25">
      <c r="A13" s="19">
        <v>13126</v>
      </c>
      <c r="B13" s="17" t="s">
        <v>5</v>
      </c>
      <c r="C13" s="17" t="s">
        <v>42</v>
      </c>
      <c r="D13" s="17" t="s">
        <v>40</v>
      </c>
      <c r="E13" s="11">
        <v>4</v>
      </c>
      <c r="F13" s="21">
        <f>LOG10(6.5*10^3)</f>
        <v>3.8129133566428557</v>
      </c>
    </row>
    <row r="14" spans="1:15" x14ac:dyDescent="0.25">
      <c r="A14" s="19">
        <v>13126</v>
      </c>
      <c r="B14" s="17" t="s">
        <v>6</v>
      </c>
      <c r="C14" s="17" t="s">
        <v>42</v>
      </c>
      <c r="D14" s="17" t="s">
        <v>40</v>
      </c>
      <c r="E14" s="11">
        <v>0</v>
      </c>
      <c r="F14" s="21">
        <f>LOG10(6.3*10^5)</f>
        <v>5.7993405494535821</v>
      </c>
    </row>
    <row r="15" spans="1:15" x14ac:dyDescent="0.25">
      <c r="A15" s="19">
        <v>13126</v>
      </c>
      <c r="B15" s="17" t="s">
        <v>6</v>
      </c>
      <c r="C15" s="17" t="s">
        <v>42</v>
      </c>
      <c r="D15" s="17" t="s">
        <v>40</v>
      </c>
      <c r="E15" s="11">
        <v>0.5</v>
      </c>
      <c r="F15" s="21">
        <f>LOG10(2.67*10^4)</f>
        <v>4.426511261364575</v>
      </c>
    </row>
    <row r="16" spans="1:15" x14ac:dyDescent="0.25">
      <c r="A16" s="19">
        <v>13126</v>
      </c>
      <c r="B16" s="17" t="s">
        <v>6</v>
      </c>
      <c r="C16" s="17" t="s">
        <v>42</v>
      </c>
      <c r="D16" s="17" t="s">
        <v>40</v>
      </c>
      <c r="E16" s="11">
        <v>1</v>
      </c>
      <c r="F16" s="21">
        <f>LOG10(1.57*10^4)</f>
        <v>4.195899652409234</v>
      </c>
    </row>
    <row r="17" spans="1:6" x14ac:dyDescent="0.25">
      <c r="A17" s="19">
        <v>13126</v>
      </c>
      <c r="B17" s="17" t="s">
        <v>6</v>
      </c>
      <c r="C17" s="17" t="s">
        <v>42</v>
      </c>
      <c r="D17" s="17" t="s">
        <v>40</v>
      </c>
      <c r="E17" s="11">
        <v>2</v>
      </c>
      <c r="F17" s="21">
        <f>LOG10(1.2*10^3)</f>
        <v>3.0791812460476247</v>
      </c>
    </row>
    <row r="18" spans="1:6" x14ac:dyDescent="0.25">
      <c r="A18" s="19">
        <v>13126</v>
      </c>
      <c r="B18" s="17" t="s">
        <v>6</v>
      </c>
      <c r="C18" s="17" t="s">
        <v>42</v>
      </c>
      <c r="D18" s="17" t="s">
        <v>40</v>
      </c>
      <c r="E18" s="11">
        <v>3</v>
      </c>
      <c r="F18" s="21">
        <f>LOG10(2.35*10^3)</f>
        <v>3.3710678622717363</v>
      </c>
    </row>
    <row r="19" spans="1:6" x14ac:dyDescent="0.25">
      <c r="A19" s="19">
        <v>13126</v>
      </c>
      <c r="B19" s="17" t="s">
        <v>6</v>
      </c>
      <c r="C19" s="17" t="s">
        <v>42</v>
      </c>
      <c r="D19" s="17" t="s">
        <v>40</v>
      </c>
      <c r="E19" s="11">
        <v>4</v>
      </c>
      <c r="F19" s="21">
        <f>LOG10(3.85*10^3)</f>
        <v>3.5854607295085006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1.1406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J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5.3010299956639813</v>
      </c>
      <c r="C2" s="11">
        <f t="shared" ref="C2:C19" si="0">$G$5+LOG10($G$2*EXP(-$G$3*A2)+(1-$G$2)*EXP(-$G$4*A2))</f>
        <v>5.4448205870282811</v>
      </c>
      <c r="D2" s="11">
        <f t="shared" ref="D2:D19" si="1" xml:space="preserve"> (B2 - C2)^2</f>
        <v>2.0675734164895057E-2</v>
      </c>
      <c r="E2" s="5"/>
      <c r="F2" s="5" t="s">
        <v>15</v>
      </c>
      <c r="G2" s="22">
        <v>0.97640567453213789</v>
      </c>
      <c r="H2" s="22">
        <v>1.4846968869829688E-2</v>
      </c>
      <c r="I2" s="5"/>
      <c r="J2" s="5"/>
      <c r="K2" s="5"/>
      <c r="L2" s="6" t="s">
        <v>20</v>
      </c>
      <c r="M2" s="22">
        <v>8.9147791209889055E-2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3.7993405494535817</v>
      </c>
      <c r="C3" s="11">
        <f t="shared" si="0"/>
        <v>3.7747420233386029</v>
      </c>
      <c r="D3" s="11">
        <f t="shared" si="1"/>
        <v>6.0508748702929464E-4</v>
      </c>
      <c r="E3" s="5"/>
      <c r="F3" s="5" t="s">
        <v>16</v>
      </c>
      <c r="G3" s="22">
        <v>12.27926087979133</v>
      </c>
      <c r="H3" s="22">
        <v>11.039884831735909</v>
      </c>
      <c r="I3" s="5"/>
      <c r="J3" s="5"/>
      <c r="K3" s="5"/>
      <c r="L3" s="6" t="s">
        <v>23</v>
      </c>
      <c r="M3" s="22">
        <f>SQRT(M2)</f>
        <v>0.29857627368879974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3.3010299956639813</v>
      </c>
      <c r="C4" s="11">
        <f t="shared" si="0"/>
        <v>3.6419420316762494</v>
      </c>
      <c r="D4" s="11">
        <f t="shared" si="1"/>
        <v>0.11622101629803003</v>
      </c>
      <c r="E4" s="5"/>
      <c r="F4" s="5" t="s">
        <v>17</v>
      </c>
      <c r="G4" s="22">
        <v>0.4048204851858786</v>
      </c>
      <c r="H4" s="22">
        <v>0.17809896755714752</v>
      </c>
      <c r="I4" s="5"/>
      <c r="J4" s="5"/>
      <c r="K4" s="5"/>
      <c r="L4" s="6" t="s">
        <v>21</v>
      </c>
      <c r="M4" s="22">
        <v>0.89567679233337816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3.3560258571931225</v>
      </c>
      <c r="C5" s="11">
        <f t="shared" si="0"/>
        <v>3.4660055480677445</v>
      </c>
      <c r="D5" s="11">
        <f t="shared" si="1"/>
        <v>1.2095532404877415E-2</v>
      </c>
      <c r="E5" s="5"/>
      <c r="F5" s="5" t="s">
        <v>14</v>
      </c>
      <c r="G5" s="22">
        <v>5.4448205870282811</v>
      </c>
      <c r="H5" s="22">
        <v>0.1723830897140515</v>
      </c>
      <c r="I5" s="5"/>
      <c r="J5" s="5"/>
      <c r="K5" s="5"/>
      <c r="L5" s="6" t="s">
        <v>22</v>
      </c>
      <c r="M5" s="22">
        <v>0.87332181926195918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3.6532125137753435</v>
      </c>
      <c r="C6" s="11">
        <f t="shared" si="0"/>
        <v>3.2901942443179606</v>
      </c>
      <c r="D6" s="11">
        <f t="shared" si="1"/>
        <v>0.13178226395983306</v>
      </c>
      <c r="E6" s="5"/>
      <c r="F6" s="5"/>
      <c r="G6" s="22"/>
      <c r="H6" s="22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3.6532125137753435</v>
      </c>
      <c r="C7" s="11">
        <f t="shared" si="0"/>
        <v>3.1143829414403301</v>
      </c>
      <c r="D7" s="11">
        <f t="shared" si="1"/>
        <v>0.29033730802273344</v>
      </c>
      <c r="E7" s="5"/>
      <c r="F7" s="4" t="s">
        <v>24</v>
      </c>
      <c r="G7" s="5"/>
      <c r="H7" s="7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5.6020599913279625</v>
      </c>
      <c r="C8" s="11">
        <f t="shared" si="0"/>
        <v>5.4448205870282811</v>
      </c>
      <c r="D8" s="11">
        <f t="shared" si="1"/>
        <v>2.4724230264518671E-2</v>
      </c>
      <c r="E8" s="5"/>
      <c r="F8" s="5" t="s">
        <v>28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3.6989700043360187</v>
      </c>
      <c r="C9" s="11">
        <f t="shared" si="0"/>
        <v>3.7747420233386029</v>
      </c>
      <c r="D9" s="11">
        <f t="shared" si="1"/>
        <v>5.7413988637279693E-3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4.0293837776852097</v>
      </c>
      <c r="C10" s="11">
        <f t="shared" si="0"/>
        <v>3.6419420316762494</v>
      </c>
      <c r="D10" s="11">
        <f t="shared" si="1"/>
        <v>0.15011110655047172</v>
      </c>
      <c r="E10" s="5"/>
      <c r="F10" s="5" t="s">
        <v>28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3.6720978579357175</v>
      </c>
      <c r="C11" s="11">
        <f t="shared" si="0"/>
        <v>3.4660055480677445</v>
      </c>
      <c r="D11" s="11">
        <f t="shared" si="1"/>
        <v>4.2474040186716598E-2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3.5250448070368452</v>
      </c>
      <c r="C12" s="11">
        <f t="shared" si="0"/>
        <v>3.2901942443179606</v>
      </c>
      <c r="D12" s="11">
        <f t="shared" si="1"/>
        <v>5.515478680937675E-2</v>
      </c>
      <c r="E12" s="5"/>
      <c r="F12" s="31" t="s">
        <v>29</v>
      </c>
      <c r="G12" s="32"/>
      <c r="H12" s="32"/>
      <c r="I12" s="32"/>
      <c r="J12" s="32"/>
      <c r="K12" s="32"/>
      <c r="L12" s="32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2.7888751157754168</v>
      </c>
      <c r="C13" s="11">
        <f t="shared" si="0"/>
        <v>3.1143829414403301</v>
      </c>
      <c r="D13" s="11">
        <f t="shared" si="1"/>
        <v>0.10595534456909961</v>
      </c>
      <c r="E13" s="5"/>
      <c r="F13" s="32"/>
      <c r="G13" s="32"/>
      <c r="H13" s="32"/>
      <c r="I13" s="32"/>
      <c r="J13" s="32"/>
      <c r="K13" s="32"/>
      <c r="L13" s="32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5.4313637641589869</v>
      </c>
      <c r="C14" s="11">
        <f t="shared" si="0"/>
        <v>5.4448205870282811</v>
      </c>
      <c r="D14" s="11">
        <f t="shared" si="1"/>
        <v>1.8108608173555862E-4</v>
      </c>
      <c r="E14" s="5"/>
      <c r="F14" s="32"/>
      <c r="G14" s="32"/>
      <c r="H14" s="32"/>
      <c r="I14" s="32"/>
      <c r="J14" s="32"/>
      <c r="K14" s="32"/>
      <c r="L14" s="32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3.8260748027008264</v>
      </c>
      <c r="C15" s="11">
        <f t="shared" si="0"/>
        <v>3.7747420233386029</v>
      </c>
      <c r="D15" s="11">
        <f t="shared" si="1"/>
        <v>2.6350542370507271E-3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3.568201724066995</v>
      </c>
      <c r="C16" s="11">
        <f t="shared" si="0"/>
        <v>3.6419420316762494</v>
      </c>
      <c r="D16" s="11">
        <f t="shared" si="1"/>
        <v>5.4376329663074667E-3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3.3010299956639813</v>
      </c>
      <c r="C17" s="11">
        <f t="shared" si="0"/>
        <v>3.4660055480677445</v>
      </c>
      <c r="D17" s="11">
        <f t="shared" si="1"/>
        <v>2.7216932890926842E-2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2.9111576087399764</v>
      </c>
      <c r="C18" s="11">
        <f t="shared" si="0"/>
        <v>3.2901942443179606</v>
      </c>
      <c r="D18" s="11">
        <f t="shared" si="1"/>
        <v>0.14366877111027757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2.7781512503836434</v>
      </c>
      <c r="C19" s="11">
        <f t="shared" si="0"/>
        <v>3.1143829414403301</v>
      </c>
      <c r="D19" s="11">
        <f t="shared" si="1"/>
        <v>0.11305175007083922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1.2480690769384468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>$G$5+LOG10($G$2*EXP(-$G$3*A23)+(1-$G$2)*EXP(-$G$4*A23))</f>
        <v>5.4448205870282811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0.01</v>
      </c>
      <c r="B24" s="21"/>
      <c r="C24" s="21">
        <f t="shared" ref="C24:C25" si="2">$G$5+LOG10($G$2*EXP(-$G$3*A24)+(1-$G$2)*EXP(-$G$4*A24))</f>
        <v>5.3927824651613889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0.02</v>
      </c>
      <c r="B25" s="21"/>
      <c r="C25" s="21">
        <f t="shared" si="2"/>
        <v>5.3409024206483267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0.03</v>
      </c>
      <c r="B26" s="21"/>
      <c r="C26" s="21">
        <f t="shared" ref="C26:C89" si="3">$G$5+LOG10($G$2*EXP(-$G$3*A26)+(1-$G$2)*EXP(-$G$4*A26))</f>
        <v>5.2891991972435948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0.04</v>
      </c>
      <c r="B27" s="21"/>
      <c r="C27" s="21">
        <f t="shared" si="3"/>
        <v>5.2376935997506493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0.05</v>
      </c>
      <c r="B28" s="21"/>
      <c r="C28" s="21">
        <f t="shared" si="3"/>
        <v>5.1864086793686619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0.06</v>
      </c>
      <c r="B29" s="21"/>
      <c r="C29" s="21">
        <f t="shared" si="3"/>
        <v>5.1353699250153575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7.0000000000000007E-2</v>
      </c>
      <c r="B30" s="21"/>
      <c r="C30" s="21">
        <f t="shared" si="3"/>
        <v>5.0846054577102313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0.08</v>
      </c>
      <c r="B31" s="21"/>
      <c r="C31" s="21">
        <f t="shared" si="3"/>
        <v>5.034146224114707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0.09</v>
      </c>
      <c r="B32" s="21"/>
      <c r="C32" s="21">
        <f t="shared" si="3"/>
        <v>4.9840261841701317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0.1</v>
      </c>
      <c r="B33" s="21"/>
      <c r="C33" s="21">
        <f t="shared" si="3"/>
        <v>4.934282486453939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0.11</v>
      </c>
      <c r="B34" s="21"/>
      <c r="C34" s="21">
        <f t="shared" si="3"/>
        <v>4.8849556234065803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0.12</v>
      </c>
      <c r="B35" s="21"/>
      <c r="C35" s="21">
        <f t="shared" si="3"/>
        <v>4.8360895570046054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0.13</v>
      </c>
      <c r="B36" s="21"/>
      <c r="C36" s="21">
        <f t="shared" si="3"/>
        <v>4.7877318038326857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0.14000000000000001</v>
      </c>
      <c r="B37" s="21"/>
      <c r="C37" s="21">
        <f t="shared" si="3"/>
        <v>4.7399334669363551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0.15</v>
      </c>
      <c r="B38" s="21"/>
      <c r="C38" s="21">
        <f t="shared" si="3"/>
        <v>4.6927492004528037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0.16</v>
      </c>
      <c r="B39" s="21"/>
      <c r="C39" s="21">
        <f t="shared" si="3"/>
        <v>4.6462370919959346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0.17</v>
      </c>
      <c r="B40" s="21"/>
      <c r="C40" s="21">
        <f t="shared" si="3"/>
        <v>4.6004584473312029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0.18</v>
      </c>
      <c r="B41" s="21"/>
      <c r="C41" s="21">
        <f t="shared" si="3"/>
        <v>4.5554774622658698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0.19</v>
      </c>
      <c r="B42" s="21"/>
      <c r="C42" s="21">
        <f t="shared" si="3"/>
        <v>4.511360768168271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0.2</v>
      </c>
      <c r="B43" s="21"/>
      <c r="C43" s="21">
        <f t="shared" si="3"/>
        <v>4.4681768403721209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0.21</v>
      </c>
      <c r="B44" s="21"/>
      <c r="C44" s="21">
        <f t="shared" si="3"/>
        <v>4.4259952631254968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0.22</v>
      </c>
      <c r="B45" s="21"/>
      <c r="C45" s="21">
        <f t="shared" si="3"/>
        <v>4.3848858508167883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0.23</v>
      </c>
      <c r="B46" s="21"/>
      <c r="C46" s="21">
        <f t="shared" si="3"/>
        <v>4.3449176329046608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0.24</v>
      </c>
      <c r="B47" s="21"/>
      <c r="C47" s="21">
        <f t="shared" si="3"/>
        <v>4.3061577190420035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0.25</v>
      </c>
      <c r="B48" s="21"/>
      <c r="C48" s="21">
        <f t="shared" si="3"/>
        <v>4.268670070815995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0.26</v>
      </c>
      <c r="B49" s="21"/>
      <c r="C49" s="21">
        <f t="shared" si="3"/>
        <v>4.2325142165752947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0.27</v>
      </c>
      <c r="B50" s="21"/>
      <c r="C50" s="21">
        <f t="shared" si="3"/>
        <v>4.197743955009873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0.28000000000000003</v>
      </c>
      <c r="B51" s="21"/>
      <c r="C51" s="21">
        <f t="shared" si="3"/>
        <v>4.1644061003852544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0.28999999999999998</v>
      </c>
      <c r="B52" s="21"/>
      <c r="C52" s="21">
        <f t="shared" si="3"/>
        <v>4.1325393265118429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0.3</v>
      </c>
      <c r="B53" s="21"/>
      <c r="C53" s="21">
        <f t="shared" si="3"/>
        <v>4.1021731667289032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0.31</v>
      </c>
      <c r="B54" s="21"/>
      <c r="C54" s="21">
        <f t="shared" si="3"/>
        <v>4.0733272228357649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0.32</v>
      </c>
      <c r="B55" s="21"/>
      <c r="C55" s="21">
        <f t="shared" si="3"/>
        <v>4.0460106269487603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0.33</v>
      </c>
      <c r="B56" s="21"/>
      <c r="C56" s="21">
        <f t="shared" si="3"/>
        <v>4.0202217872232966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0.34</v>
      </c>
      <c r="B57" s="21"/>
      <c r="C57" s="21">
        <f t="shared" si="3"/>
        <v>3.9959484323408812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0.35</v>
      </c>
      <c r="B58" s="21"/>
      <c r="C58" s="21">
        <f t="shared" si="3"/>
        <v>3.9731679521414924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0.36</v>
      </c>
      <c r="B59" s="21"/>
      <c r="C59" s="21">
        <f t="shared" si="3"/>
        <v>3.9518480145239305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0.37</v>
      </c>
      <c r="B60" s="21"/>
      <c r="C60" s="21">
        <f t="shared" si="3"/>
        <v>3.9319474234432681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0.38</v>
      </c>
      <c r="B61" s="21"/>
      <c r="C61" s="21">
        <f t="shared" si="3"/>
        <v>3.9134171709155123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0.39</v>
      </c>
      <c r="B62" s="21"/>
      <c r="C62" s="21">
        <f t="shared" si="3"/>
        <v>3.8962016283218528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0.4</v>
      </c>
      <c r="B63" s="21"/>
      <c r="C63" s="21">
        <f t="shared" si="3"/>
        <v>3.8802398193350114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0.41</v>
      </c>
      <c r="B64" s="21"/>
      <c r="C64" s="21">
        <f t="shared" si="3"/>
        <v>3.8654667182456759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0.42</v>
      </c>
      <c r="B65" s="21"/>
      <c r="C65" s="21">
        <f t="shared" si="3"/>
        <v>3.8518145226586089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0.43</v>
      </c>
      <c r="B66" s="21"/>
      <c r="C66" s="21">
        <f t="shared" si="3"/>
        <v>3.8392138574618575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0.44</v>
      </c>
      <c r="B67" s="21"/>
      <c r="C67" s="21">
        <f t="shared" si="3"/>
        <v>3.8275948765311618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0.45</v>
      </c>
      <c r="B68" s="21"/>
      <c r="C68" s="21">
        <f t="shared" si="3"/>
        <v>3.8168882387385308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0.46</v>
      </c>
      <c r="B69" s="21"/>
      <c r="C69" s="21">
        <f t="shared" si="3"/>
        <v>3.8070259445760035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0.47</v>
      </c>
      <c r="B70" s="21"/>
      <c r="C70" s="21">
        <f t="shared" si="3"/>
        <v>3.7979420284040035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0.48</v>
      </c>
      <c r="B71" s="21"/>
      <c r="C71" s="21">
        <f t="shared" si="3"/>
        <v>3.7895731085644364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0.49</v>
      </c>
      <c r="B72" s="21"/>
      <c r="C72" s="21">
        <f t="shared" si="3"/>
        <v>3.7818588031740896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0.5</v>
      </c>
      <c r="B73" s="21"/>
      <c r="C73" s="21">
        <f t="shared" si="3"/>
        <v>3.7747420233386029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0.51</v>
      </c>
      <c r="B74" s="21"/>
      <c r="C74" s="21">
        <f t="shared" si="3"/>
        <v>3.7681691579440519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0.52</v>
      </c>
      <c r="B75" s="21"/>
      <c r="C75" s="21">
        <f t="shared" si="3"/>
        <v>3.7620901653182983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0.53</v>
      </c>
      <c r="B76" s="21"/>
      <c r="C76" s="21">
        <f t="shared" si="3"/>
        <v>3.7564585871709166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0.54</v>
      </c>
      <c r="B77" s="21"/>
      <c r="C77" s="21">
        <f t="shared" si="3"/>
        <v>3.7512314995831697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0.55000000000000004</v>
      </c>
      <c r="B78" s="21"/>
      <c r="C78" s="21">
        <f t="shared" si="3"/>
        <v>3.7463694146699247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0.56000000000000005</v>
      </c>
      <c r="B79" s="21"/>
      <c r="C79" s="21">
        <f t="shared" si="3"/>
        <v>3.741836145079243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0.56999999999999995</v>
      </c>
      <c r="B80" s="21"/>
      <c r="C80" s="21">
        <f t="shared" si="3"/>
        <v>3.737598641896799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0.57999999999999996</v>
      </c>
      <c r="B81" s="21"/>
      <c r="C81" s="21">
        <f t="shared" si="3"/>
        <v>3.7336268149046337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0.59</v>
      </c>
      <c r="B82" s="21"/>
      <c r="C82" s="21">
        <f t="shared" si="3"/>
        <v>3.7298933425935878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0.6</v>
      </c>
      <c r="B83" s="21"/>
      <c r="C83" s="21">
        <f t="shared" si="3"/>
        <v>3.7263734779016549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0.61</v>
      </c>
      <c r="B84" s="21"/>
      <c r="C84" s="21">
        <f t="shared" si="3"/>
        <v>3.7230448543776871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0.62</v>
      </c>
      <c r="B85" s="21"/>
      <c r="C85" s="21">
        <f t="shared" si="3"/>
        <v>3.7198872963641261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0.63</v>
      </c>
      <c r="B86" s="21"/>
      <c r="C86" s="21">
        <f t="shared" si="3"/>
        <v>3.7168826358534788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0.64</v>
      </c>
      <c r="B87" s="21"/>
      <c r="C87" s="21">
        <f t="shared" si="3"/>
        <v>3.7140145378923646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0.65</v>
      </c>
      <c r="B88" s="21"/>
      <c r="C88" s="21">
        <f t="shared" si="3"/>
        <v>3.7112683357700944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0.66</v>
      </c>
      <c r="B89" s="21"/>
      <c r="C89" s="21">
        <f t="shared" si="3"/>
        <v>3.7086308767193605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0.67</v>
      </c>
      <c r="B90" s="21"/>
      <c r="C90" s="21">
        <f t="shared" ref="C90:C153" si="4">$G$5+LOG10($G$2*EXP(-$G$3*A90)+(1-$G$2)*EXP(-$G$4*A90))</f>
        <v>3.7060903784574135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0.68</v>
      </c>
      <c r="B91" s="21"/>
      <c r="C91" s="21">
        <f t="shared" si="4"/>
        <v>3.7036362965901217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0.69</v>
      </c>
      <c r="B92" s="21"/>
      <c r="C92" s="21">
        <f t="shared" si="4"/>
        <v>3.7012592026728997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0.7</v>
      </c>
      <c r="B93" s="21"/>
      <c r="C93" s="21">
        <f t="shared" si="4"/>
        <v>3.6989506725574381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0.71</v>
      </c>
      <c r="B94" s="21"/>
      <c r="C94" s="21">
        <f t="shared" si="4"/>
        <v>3.6967031845392033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0.72</v>
      </c>
      <c r="B95" s="21"/>
      <c r="C95" s="21">
        <f t="shared" si="4"/>
        <v>3.6945100267471309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0.73</v>
      </c>
      <c r="B96" s="21"/>
      <c r="C96" s="21">
        <f t="shared" si="4"/>
        <v>3.6923652131748907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0.74</v>
      </c>
      <c r="B97" s="21"/>
      <c r="C97" s="21">
        <f t="shared" si="4"/>
        <v>3.6902634077352356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0.75</v>
      </c>
      <c r="B98" s="21"/>
      <c r="C98" s="21">
        <f t="shared" si="4"/>
        <v>3.6881998557190947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0.76</v>
      </c>
      <c r="B99" s="21"/>
      <c r="C99" s="21">
        <f t="shared" si="4"/>
        <v>3.6861703220545001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0.77</v>
      </c>
      <c r="B100" s="21"/>
      <c r="C100" s="21">
        <f t="shared" si="4"/>
        <v>3.6841710357831245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0.78</v>
      </c>
      <c r="B101" s="21"/>
      <c r="C101" s="21">
        <f t="shared" si="4"/>
        <v>3.6821986402012268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0.79</v>
      </c>
      <c r="B102" s="21"/>
      <c r="C102" s="21">
        <f t="shared" si="4"/>
        <v>3.6802501481447085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0.8</v>
      </c>
      <c r="B103" s="21"/>
      <c r="C103" s="21">
        <f t="shared" si="4"/>
        <v>3.6783229019329839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0.81</v>
      </c>
      <c r="B104" s="21"/>
      <c r="C104" s="21">
        <f t="shared" si="4"/>
        <v>3.6764145375221435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0.82</v>
      </c>
      <c r="B105" s="21"/>
      <c r="C105" s="21">
        <f t="shared" si="4"/>
        <v>3.6745229524533851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0.83</v>
      </c>
      <c r="B106" s="21"/>
      <c r="C106" s="21">
        <f t="shared" si="4"/>
        <v>3.6726462772172312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0.84</v>
      </c>
      <c r="B107" s="21"/>
      <c r="C107" s="21">
        <f t="shared" si="4"/>
        <v>3.6707828496871455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0.85</v>
      </c>
      <c r="B108" s="21"/>
      <c r="C108" s="21">
        <f t="shared" si="4"/>
        <v>3.6689311923074523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0.86</v>
      </c>
      <c r="B109" s="21"/>
      <c r="C109" s="21">
        <f t="shared" si="4"/>
        <v>3.6670899917498243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0.87</v>
      </c>
      <c r="B110" s="21"/>
      <c r="C110" s="21">
        <f t="shared" si="4"/>
        <v>3.665258080779858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0.88</v>
      </c>
      <c r="B111" s="21"/>
      <c r="C111" s="21">
        <f t="shared" si="4"/>
        <v>3.6634344221004818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0.89</v>
      </c>
      <c r="B112" s="21"/>
      <c r="C112" s="21">
        <f t="shared" si="4"/>
        <v>3.6616180939620744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0.9</v>
      </c>
      <c r="B113" s="21"/>
      <c r="C113" s="21">
        <f t="shared" si="4"/>
        <v>3.6598082773503653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0.91</v>
      </c>
      <c r="B114" s="21"/>
      <c r="C114" s="21">
        <f t="shared" si="4"/>
        <v>3.6580042445824756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0.92</v>
      </c>
      <c r="B115" s="21"/>
      <c r="C115" s="21">
        <f t="shared" si="4"/>
        <v>3.6562053491589785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0.93</v>
      </c>
      <c r="B116" s="21"/>
      <c r="C116" s="21">
        <f t="shared" si="4"/>
        <v>3.6544110167357378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0.94</v>
      </c>
      <c r="B117" s="21"/>
      <c r="C117" s="21">
        <f t="shared" si="4"/>
        <v>3.652620737093601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0.95</v>
      </c>
      <c r="B118" s="21"/>
      <c r="C118" s="21">
        <f t="shared" si="4"/>
        <v>3.6508340569969686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0.96</v>
      </c>
      <c r="B119" s="21"/>
      <c r="C119" s="21">
        <f t="shared" si="4"/>
        <v>3.6490505738438594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0.97</v>
      </c>
      <c r="B120" s="21"/>
      <c r="C120" s="21">
        <f t="shared" si="4"/>
        <v>3.6472699300205713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0.98</v>
      </c>
      <c r="B121" s="21"/>
      <c r="C121" s="21">
        <f t="shared" si="4"/>
        <v>3.6454918078833849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0.99</v>
      </c>
      <c r="B122" s="21"/>
      <c r="C122" s="21">
        <f t="shared" si="4"/>
        <v>3.6437159252981672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5">
      <c r="A123" s="21">
        <v>1</v>
      </c>
      <c r="B123" s="21"/>
      <c r="C123" s="21">
        <f t="shared" si="4"/>
        <v>3.6419420316762494</v>
      </c>
      <c r="D123" s="21"/>
    </row>
    <row r="124" spans="1:34" x14ac:dyDescent="0.25">
      <c r="A124" s="21">
        <v>1.01</v>
      </c>
      <c r="B124" s="21"/>
      <c r="C124" s="21">
        <f t="shared" si="4"/>
        <v>3.6401699044516755</v>
      </c>
      <c r="D124" s="21"/>
    </row>
    <row r="125" spans="1:34" x14ac:dyDescent="0.25">
      <c r="A125" s="21">
        <v>1.02</v>
      </c>
      <c r="B125" s="21"/>
      <c r="C125" s="21">
        <f t="shared" si="4"/>
        <v>3.6383993459509196</v>
      </c>
      <c r="D125" s="21"/>
    </row>
    <row r="126" spans="1:34" x14ac:dyDescent="0.25">
      <c r="A126" s="21">
        <v>1.03</v>
      </c>
      <c r="B126" s="21"/>
      <c r="C126" s="21">
        <f t="shared" si="4"/>
        <v>3.6366301806115535</v>
      </c>
      <c r="D126" s="21"/>
    </row>
    <row r="127" spans="1:34" x14ac:dyDescent="0.25">
      <c r="A127" s="21">
        <v>1.04</v>
      </c>
      <c r="B127" s="21"/>
      <c r="C127" s="21">
        <f t="shared" si="4"/>
        <v>3.6348622525111081</v>
      </c>
      <c r="D127" s="21"/>
    </row>
    <row r="128" spans="1:34" x14ac:dyDescent="0.25">
      <c r="A128" s="21">
        <v>1.05</v>
      </c>
      <c r="B128" s="21"/>
      <c r="C128" s="21">
        <f t="shared" si="4"/>
        <v>3.633095423171655</v>
      </c>
      <c r="D128" s="21"/>
    </row>
    <row r="129" spans="1:4" x14ac:dyDescent="0.25">
      <c r="A129" s="21">
        <v>1.06</v>
      </c>
      <c r="B129" s="21"/>
      <c r="C129" s="21">
        <f t="shared" si="4"/>
        <v>3.6313295696094512</v>
      </c>
      <c r="D129" s="21"/>
    </row>
    <row r="130" spans="1:4" x14ac:dyDescent="0.25">
      <c r="A130" s="21">
        <v>1.07</v>
      </c>
      <c r="B130" s="21"/>
      <c r="C130" s="21">
        <f t="shared" si="4"/>
        <v>3.6295645826023506</v>
      </c>
      <c r="D130" s="21"/>
    </row>
    <row r="131" spans="1:4" x14ac:dyDescent="0.25">
      <c r="A131" s="21">
        <v>1.08</v>
      </c>
      <c r="B131" s="21"/>
      <c r="C131" s="21">
        <f t="shared" si="4"/>
        <v>3.6278003651507404</v>
      </c>
      <c r="D131" s="21"/>
    </row>
    <row r="132" spans="1:4" x14ac:dyDescent="0.25">
      <c r="A132" s="21">
        <v>1.0900000000000001</v>
      </c>
      <c r="B132" s="21"/>
      <c r="C132" s="21">
        <f t="shared" si="4"/>
        <v>3.6260368311104276</v>
      </c>
      <c r="D132" s="21"/>
    </row>
    <row r="133" spans="1:4" x14ac:dyDescent="0.25">
      <c r="A133" s="21">
        <v>1.1000000000000001</v>
      </c>
      <c r="B133" s="21"/>
      <c r="C133" s="21">
        <f t="shared" si="4"/>
        <v>3.6242739039783003</v>
      </c>
      <c r="D133" s="21"/>
    </row>
    <row r="134" spans="1:4" x14ac:dyDescent="0.25">
      <c r="A134" s="21">
        <v>1.1100000000000001</v>
      </c>
      <c r="B134" s="21"/>
      <c r="C134" s="21">
        <f t="shared" si="4"/>
        <v>3.6225115158137218</v>
      </c>
      <c r="D134" s="21"/>
    </row>
    <row r="135" spans="1:4" x14ac:dyDescent="0.25">
      <c r="A135" s="21">
        <v>1.1200000000000001</v>
      </c>
      <c r="B135" s="21"/>
      <c r="C135" s="21">
        <f t="shared" si="4"/>
        <v>3.6207496062805125</v>
      </c>
      <c r="D135" s="21"/>
    </row>
    <row r="136" spans="1:4" x14ac:dyDescent="0.25">
      <c r="A136" s="21">
        <v>1.1299999999999999</v>
      </c>
      <c r="B136" s="21"/>
      <c r="C136" s="21">
        <f t="shared" si="4"/>
        <v>3.6189881217960487</v>
      </c>
      <c r="D136" s="21"/>
    </row>
    <row r="137" spans="1:4" x14ac:dyDescent="0.25">
      <c r="A137" s="21">
        <v>1.1399999999999999</v>
      </c>
      <c r="B137" s="21"/>
      <c r="C137" s="21">
        <f t="shared" si="4"/>
        <v>3.6172270147755228</v>
      </c>
      <c r="D137" s="21"/>
    </row>
    <row r="138" spans="1:4" x14ac:dyDescent="0.25">
      <c r="A138" s="21">
        <v>1.1499999999999999</v>
      </c>
      <c r="B138" s="21"/>
      <c r="C138" s="21">
        <f t="shared" si="4"/>
        <v>3.6154662429607289</v>
      </c>
      <c r="D138" s="21"/>
    </row>
    <row r="139" spans="1:4" x14ac:dyDescent="0.25">
      <c r="A139" s="21">
        <v>1.1599999999999999</v>
      </c>
      <c r="B139" s="21"/>
      <c r="C139" s="21">
        <f t="shared" si="4"/>
        <v>3.6137057688239302</v>
      </c>
      <c r="D139" s="21"/>
    </row>
    <row r="140" spans="1:4" x14ac:dyDescent="0.25">
      <c r="A140" s="21">
        <v>1.17</v>
      </c>
      <c r="B140" s="21"/>
      <c r="C140" s="21">
        <f t="shared" si="4"/>
        <v>3.6119455590384204</v>
      </c>
      <c r="D140" s="21"/>
    </row>
    <row r="141" spans="1:4" x14ac:dyDescent="0.25">
      <c r="A141" s="21">
        <v>1.18</v>
      </c>
      <c r="B141" s="21"/>
      <c r="C141" s="21">
        <f t="shared" si="4"/>
        <v>3.6101855840083168</v>
      </c>
      <c r="D141" s="21"/>
    </row>
    <row r="142" spans="1:4" x14ac:dyDescent="0.25">
      <c r="A142" s="21">
        <v>1.19</v>
      </c>
      <c r="B142" s="21"/>
      <c r="C142" s="21">
        <f t="shared" si="4"/>
        <v>3.6084258174509642</v>
      </c>
      <c r="D142" s="21"/>
    </row>
    <row r="143" spans="1:4" x14ac:dyDescent="0.25">
      <c r="A143" s="21">
        <v>1.2</v>
      </c>
      <c r="B143" s="21"/>
      <c r="C143" s="21">
        <f t="shared" si="4"/>
        <v>3.6066662360260748</v>
      </c>
      <c r="D143" s="21"/>
    </row>
    <row r="144" spans="1:4" x14ac:dyDescent="0.25">
      <c r="A144" s="21">
        <v>1.21</v>
      </c>
      <c r="B144" s="21"/>
      <c r="C144" s="21">
        <f t="shared" si="4"/>
        <v>3.6049068190063616</v>
      </c>
      <c r="D144" s="21"/>
    </row>
    <row r="145" spans="1:4" x14ac:dyDescent="0.25">
      <c r="A145" s="21">
        <v>1.22</v>
      </c>
      <c r="B145" s="21"/>
      <c r="C145" s="21">
        <f t="shared" si="4"/>
        <v>3.6031475479850368</v>
      </c>
      <c r="D145" s="21"/>
    </row>
    <row r="146" spans="1:4" x14ac:dyDescent="0.25">
      <c r="A146" s="21">
        <v>1.23</v>
      </c>
      <c r="B146" s="21"/>
      <c r="C146" s="21">
        <f t="shared" si="4"/>
        <v>3.6013884066160493</v>
      </c>
      <c r="D146" s="21"/>
    </row>
    <row r="147" spans="1:4" x14ac:dyDescent="0.25">
      <c r="A147" s="21">
        <v>1.24</v>
      </c>
      <c r="B147" s="21"/>
      <c r="C147" s="21">
        <f t="shared" si="4"/>
        <v>3.599629380383389</v>
      </c>
      <c r="D147" s="21"/>
    </row>
    <row r="148" spans="1:4" x14ac:dyDescent="0.25">
      <c r="A148" s="21">
        <v>1.25</v>
      </c>
      <c r="B148" s="21"/>
      <c r="C148" s="21">
        <f t="shared" si="4"/>
        <v>3.5978704563962207</v>
      </c>
      <c r="D148" s="21"/>
    </row>
    <row r="149" spans="1:4" x14ac:dyDescent="0.25">
      <c r="A149" s="21">
        <v>1.26</v>
      </c>
      <c r="B149" s="21"/>
      <c r="C149" s="21">
        <f t="shared" si="4"/>
        <v>3.5961116232069417</v>
      </c>
      <c r="D149" s="21"/>
    </row>
    <row r="150" spans="1:4" x14ac:dyDescent="0.25">
      <c r="A150" s="21">
        <v>1.27</v>
      </c>
      <c r="B150" s="21"/>
      <c r="C150" s="21">
        <f t="shared" si="4"/>
        <v>3.5943528706496126</v>
      </c>
      <c r="D150" s="21"/>
    </row>
    <row r="151" spans="1:4" x14ac:dyDescent="0.25">
      <c r="A151" s="21">
        <v>1.28</v>
      </c>
      <c r="B151" s="21"/>
      <c r="C151" s="21">
        <f t="shared" si="4"/>
        <v>3.5925941896964684</v>
      </c>
      <c r="D151" s="21"/>
    </row>
    <row r="152" spans="1:4" x14ac:dyDescent="0.25">
      <c r="A152" s="21">
        <v>1.29</v>
      </c>
      <c r="B152" s="21"/>
      <c r="C152" s="21">
        <f t="shared" si="4"/>
        <v>3.5908355723304952</v>
      </c>
      <c r="D152" s="21"/>
    </row>
    <row r="153" spans="1:4" x14ac:dyDescent="0.25">
      <c r="A153" s="21">
        <v>1.3</v>
      </c>
      <c r="B153" s="21"/>
      <c r="C153" s="21">
        <f t="shared" si="4"/>
        <v>3.5890770114322716</v>
      </c>
      <c r="D153" s="21"/>
    </row>
    <row r="154" spans="1:4" x14ac:dyDescent="0.25">
      <c r="A154" s="21">
        <v>1.31</v>
      </c>
      <c r="B154" s="21"/>
      <c r="C154" s="21">
        <f t="shared" ref="C154:C217" si="5">$G$5+LOG10($G$2*EXP(-$G$3*A154)+(1-$G$2)*EXP(-$G$4*A154))</f>
        <v>3.5873185006794754</v>
      </c>
      <c r="D154" s="21"/>
    </row>
    <row r="155" spans="1:4" x14ac:dyDescent="0.25">
      <c r="A155" s="21">
        <v>1.32</v>
      </c>
      <c r="B155" s="21"/>
      <c r="C155" s="21">
        <f t="shared" si="5"/>
        <v>3.585560034457643</v>
      </c>
      <c r="D155" s="21"/>
    </row>
    <row r="156" spans="1:4" x14ac:dyDescent="0.25">
      <c r="A156" s="21">
        <v>1.33</v>
      </c>
      <c r="B156" s="21"/>
      <c r="C156" s="21">
        <f t="shared" si="5"/>
        <v>3.5838016077809192</v>
      </c>
      <c r="D156" s="21"/>
    </row>
    <row r="157" spans="1:4" x14ac:dyDescent="0.25">
      <c r="A157" s="21">
        <v>1.34</v>
      </c>
      <c r="B157" s="21"/>
      <c r="C157" s="21">
        <f t="shared" si="5"/>
        <v>3.5820432162216758</v>
      </c>
      <c r="D157" s="21"/>
    </row>
    <row r="158" spans="1:4" x14ac:dyDescent="0.25">
      <c r="A158" s="21">
        <v>1.35</v>
      </c>
      <c r="B158" s="21"/>
      <c r="C158" s="21">
        <f t="shared" si="5"/>
        <v>3.5802848558480163</v>
      </c>
      <c r="D158" s="21"/>
    </row>
    <row r="159" spans="1:4" x14ac:dyDescent="0.25">
      <c r="A159" s="21">
        <v>1.36</v>
      </c>
      <c r="B159" s="21"/>
      <c r="C159" s="21">
        <f t="shared" si="5"/>
        <v>3.5785265231682706</v>
      </c>
      <c r="D159" s="21"/>
    </row>
    <row r="160" spans="1:4" x14ac:dyDescent="0.25">
      <c r="A160" s="21">
        <v>1.37</v>
      </c>
      <c r="B160" s="21"/>
      <c r="C160" s="21">
        <f t="shared" si="5"/>
        <v>3.5767682150817071</v>
      </c>
      <c r="D160" s="21"/>
    </row>
    <row r="161" spans="1:4" x14ac:dyDescent="0.25">
      <c r="A161" s="21">
        <v>1.38</v>
      </c>
      <c r="B161" s="21"/>
      <c r="C161" s="21">
        <f t="shared" si="5"/>
        <v>3.5750099288347643</v>
      </c>
      <c r="D161" s="21"/>
    </row>
    <row r="162" spans="1:4" x14ac:dyDescent="0.25">
      <c r="A162" s="21">
        <v>1.39</v>
      </c>
      <c r="B162" s="21"/>
      <c r="C162" s="21">
        <f t="shared" si="5"/>
        <v>3.5732516619821788</v>
      </c>
      <c r="D162" s="21"/>
    </row>
    <row r="163" spans="1:4" x14ac:dyDescent="0.25">
      <c r="A163" s="21">
        <v>1.4</v>
      </c>
      <c r="B163" s="21"/>
      <c r="C163" s="21">
        <f t="shared" si="5"/>
        <v>3.5714934123524689</v>
      </c>
      <c r="D163" s="21"/>
    </row>
    <row r="164" spans="1:4" x14ac:dyDescent="0.25">
      <c r="A164" s="21">
        <v>1.41</v>
      </c>
      <c r="B164" s="21"/>
      <c r="C164" s="21">
        <f t="shared" si="5"/>
        <v>3.569735178017281</v>
      </c>
      <c r="D164" s="21"/>
    </row>
    <row r="165" spans="1:4" x14ac:dyDescent="0.25">
      <c r="A165" s="21">
        <v>1.42</v>
      </c>
      <c r="B165" s="21"/>
      <c r="C165" s="21">
        <f t="shared" si="5"/>
        <v>3.5679769572641673</v>
      </c>
      <c r="D165" s="21"/>
    </row>
    <row r="166" spans="1:4" x14ac:dyDescent="0.25">
      <c r="A166" s="21">
        <v>1.43</v>
      </c>
      <c r="B166" s="21"/>
      <c r="C166" s="21">
        <f t="shared" si="5"/>
        <v>3.5662187485724131</v>
      </c>
      <c r="D166" s="21"/>
    </row>
    <row r="167" spans="1:4" x14ac:dyDescent="0.25">
      <c r="A167" s="21">
        <v>1.44</v>
      </c>
      <c r="B167" s="21"/>
      <c r="C167" s="21">
        <f t="shared" si="5"/>
        <v>3.564460550591571</v>
      </c>
      <c r="D167" s="21"/>
    </row>
    <row r="168" spans="1:4" x14ac:dyDescent="0.25">
      <c r="A168" s="21">
        <v>1.45</v>
      </c>
      <c r="B168" s="21"/>
      <c r="C168" s="21">
        <f t="shared" si="5"/>
        <v>3.5627023621223941</v>
      </c>
      <c r="D168" s="21"/>
    </row>
    <row r="169" spans="1:4" x14ac:dyDescent="0.25">
      <c r="A169" s="21">
        <v>1.46</v>
      </c>
      <c r="B169" s="21"/>
      <c r="C169" s="21">
        <f t="shared" si="5"/>
        <v>3.5609441820999095</v>
      </c>
      <c r="D169" s="21"/>
    </row>
    <row r="170" spans="1:4" x14ac:dyDescent="0.25">
      <c r="A170" s="21">
        <v>1.47</v>
      </c>
      <c r="B170" s="21"/>
      <c r="C170" s="21">
        <f t="shared" si="5"/>
        <v>3.5591860095783838</v>
      </c>
      <c r="D170" s="21"/>
    </row>
    <row r="171" spans="1:4" x14ac:dyDescent="0.25">
      <c r="A171" s="21">
        <v>1.48</v>
      </c>
      <c r="B171" s="21"/>
      <c r="C171" s="21">
        <f t="shared" si="5"/>
        <v>3.5574278437179716</v>
      </c>
      <c r="D171" s="21"/>
    </row>
    <row r="172" spans="1:4" x14ac:dyDescent="0.25">
      <c r="A172" s="21">
        <v>1.49</v>
      </c>
      <c r="B172" s="21"/>
      <c r="C172" s="21">
        <f t="shared" si="5"/>
        <v>3.5556696837728614</v>
      </c>
      <c r="D172" s="21"/>
    </row>
    <row r="173" spans="1:4" x14ac:dyDescent="0.25">
      <c r="A173" s="21">
        <v>1.5</v>
      </c>
      <c r="B173" s="21"/>
      <c r="C173" s="21">
        <f t="shared" si="5"/>
        <v>3.5539115290807457</v>
      </c>
      <c r="D173" s="21"/>
    </row>
    <row r="174" spans="1:4" x14ac:dyDescent="0.25">
      <c r="A174" s="21">
        <v>1.51</v>
      </c>
      <c r="B174" s="21"/>
      <c r="C174" s="21">
        <f t="shared" si="5"/>
        <v>3.5521533790534736</v>
      </c>
      <c r="D174" s="21"/>
    </row>
    <row r="175" spans="1:4" x14ac:dyDescent="0.25">
      <c r="A175" s="21">
        <v>1.52</v>
      </c>
      <c r="B175" s="21"/>
      <c r="C175" s="21">
        <f t="shared" si="5"/>
        <v>3.5503952331687438</v>
      </c>
      <c r="D175" s="21"/>
    </row>
    <row r="176" spans="1:4" x14ac:dyDescent="0.25">
      <c r="A176" s="21">
        <v>1.53</v>
      </c>
      <c r="B176" s="21"/>
      <c r="C176" s="21">
        <f t="shared" si="5"/>
        <v>3.5486370909627376</v>
      </c>
      <c r="D176" s="21"/>
    </row>
    <row r="177" spans="1:4" x14ac:dyDescent="0.25">
      <c r="A177" s="21">
        <v>1.54</v>
      </c>
      <c r="B177" s="21"/>
      <c r="C177" s="21">
        <f t="shared" si="5"/>
        <v>3.5468789520235653</v>
      </c>
      <c r="D177" s="21"/>
    </row>
    <row r="178" spans="1:4" x14ac:dyDescent="0.25">
      <c r="A178" s="21">
        <v>1.55</v>
      </c>
      <c r="B178" s="21"/>
      <c r="C178" s="21">
        <f t="shared" si="5"/>
        <v>3.5451208159854559</v>
      </c>
      <c r="D178" s="21"/>
    </row>
    <row r="179" spans="1:4" x14ac:dyDescent="0.25">
      <c r="A179" s="21">
        <v>1.56</v>
      </c>
      <c r="B179" s="21"/>
      <c r="C179" s="21">
        <f t="shared" si="5"/>
        <v>3.5433626825235915</v>
      </c>
      <c r="D179" s="21"/>
    </row>
    <row r="180" spans="1:4" x14ac:dyDescent="0.25">
      <c r="A180" s="21">
        <v>1.57</v>
      </c>
      <c r="B180" s="21"/>
      <c r="C180" s="21">
        <f t="shared" si="5"/>
        <v>3.5416045513495216</v>
      </c>
      <c r="D180" s="21"/>
    </row>
    <row r="181" spans="1:4" x14ac:dyDescent="0.25">
      <c r="A181" s="21">
        <v>1.58</v>
      </c>
      <c r="B181" s="21"/>
      <c r="C181" s="21">
        <f t="shared" si="5"/>
        <v>3.5398464222070936</v>
      </c>
      <c r="D181" s="21"/>
    </row>
    <row r="182" spans="1:4" x14ac:dyDescent="0.25">
      <c r="A182" s="21">
        <v>1.59</v>
      </c>
      <c r="B182" s="21"/>
      <c r="C182" s="21">
        <f t="shared" si="5"/>
        <v>3.5380882948688344</v>
      </c>
      <c r="D182" s="21"/>
    </row>
    <row r="183" spans="1:4" x14ac:dyDescent="0.25">
      <c r="A183" s="21">
        <v>1.6</v>
      </c>
      <c r="B183" s="21"/>
      <c r="C183" s="21">
        <f t="shared" si="5"/>
        <v>3.5363301691327393</v>
      </c>
      <c r="D183" s="21"/>
    </row>
    <row r="184" spans="1:4" x14ac:dyDescent="0.25">
      <c r="A184" s="21">
        <v>1.61</v>
      </c>
      <c r="B184" s="21"/>
      <c r="C184" s="21">
        <f t="shared" si="5"/>
        <v>3.5345720448194218</v>
      </c>
      <c r="D184" s="21"/>
    </row>
    <row r="185" spans="1:4" x14ac:dyDescent="0.25">
      <c r="A185" s="21">
        <v>1.62</v>
      </c>
      <c r="B185" s="21"/>
      <c r="C185" s="21">
        <f t="shared" si="5"/>
        <v>3.5328139217695806</v>
      </c>
      <c r="D185" s="21"/>
    </row>
    <row r="186" spans="1:4" x14ac:dyDescent="0.25">
      <c r="A186" s="21">
        <v>1.63</v>
      </c>
      <c r="B186" s="21"/>
      <c r="C186" s="21">
        <f t="shared" si="5"/>
        <v>3.5310557998417504</v>
      </c>
      <c r="D186" s="21"/>
    </row>
    <row r="187" spans="1:4" x14ac:dyDescent="0.25">
      <c r="A187" s="21">
        <v>1.64</v>
      </c>
      <c r="B187" s="21"/>
      <c r="C187" s="21">
        <f t="shared" si="5"/>
        <v>3.5292976789103054</v>
      </c>
      <c r="D187" s="21"/>
    </row>
    <row r="188" spans="1:4" x14ac:dyDescent="0.25">
      <c r="A188" s="21">
        <v>1.65</v>
      </c>
      <c r="B188" s="21"/>
      <c r="C188" s="21">
        <f t="shared" si="5"/>
        <v>3.5275395588636842</v>
      </c>
      <c r="D188" s="21"/>
    </row>
    <row r="189" spans="1:4" x14ac:dyDescent="0.25">
      <c r="A189" s="21">
        <v>1.66</v>
      </c>
      <c r="B189" s="21"/>
      <c r="C189" s="21">
        <f t="shared" si="5"/>
        <v>3.5257814396028175</v>
      </c>
      <c r="D189" s="21"/>
    </row>
    <row r="190" spans="1:4" x14ac:dyDescent="0.25">
      <c r="A190" s="21">
        <v>1.67</v>
      </c>
      <c r="B190" s="21"/>
      <c r="C190" s="21">
        <f t="shared" si="5"/>
        <v>3.5240233210397283</v>
      </c>
      <c r="D190" s="21"/>
    </row>
    <row r="191" spans="1:4" x14ac:dyDescent="0.25">
      <c r="A191" s="21">
        <v>1.68</v>
      </c>
      <c r="B191" s="21"/>
      <c r="C191" s="21">
        <f t="shared" si="5"/>
        <v>3.52226520309629</v>
      </c>
      <c r="D191" s="21"/>
    </row>
    <row r="192" spans="1:4" x14ac:dyDescent="0.25">
      <c r="A192" s="21">
        <v>1.69</v>
      </c>
      <c r="B192" s="21"/>
      <c r="C192" s="21">
        <f t="shared" si="5"/>
        <v>3.5205070857031222</v>
      </c>
      <c r="D192" s="21"/>
    </row>
    <row r="193" spans="1:4" x14ac:dyDescent="0.25">
      <c r="A193" s="21">
        <v>1.7</v>
      </c>
      <c r="B193" s="21"/>
      <c r="C193" s="21">
        <f t="shared" si="5"/>
        <v>3.5187489687986155</v>
      </c>
      <c r="D193" s="21"/>
    </row>
    <row r="194" spans="1:4" x14ac:dyDescent="0.25">
      <c r="A194" s="21">
        <v>1.71</v>
      </c>
      <c r="B194" s="21"/>
      <c r="C194" s="21">
        <f t="shared" si="5"/>
        <v>3.5169908523280555</v>
      </c>
      <c r="D194" s="21"/>
    </row>
    <row r="195" spans="1:4" x14ac:dyDescent="0.25">
      <c r="A195" s="21">
        <v>1.72</v>
      </c>
      <c r="B195" s="21"/>
      <c r="C195" s="21">
        <f t="shared" si="5"/>
        <v>3.5152327362428557</v>
      </c>
      <c r="D195" s="21"/>
    </row>
    <row r="196" spans="1:4" x14ac:dyDescent="0.25">
      <c r="A196" s="21">
        <v>1.73</v>
      </c>
      <c r="B196" s="21"/>
      <c r="C196" s="21">
        <f t="shared" si="5"/>
        <v>3.5134746204998692</v>
      </c>
      <c r="D196" s="21"/>
    </row>
    <row r="197" spans="1:4" x14ac:dyDescent="0.25">
      <c r="A197" s="21">
        <v>1.74</v>
      </c>
      <c r="B197" s="21"/>
      <c r="C197" s="21">
        <f t="shared" si="5"/>
        <v>3.5117165050607797</v>
      </c>
      <c r="D197" s="21"/>
    </row>
    <row r="198" spans="1:4" x14ac:dyDescent="0.25">
      <c r="A198" s="21">
        <v>1.75</v>
      </c>
      <c r="B198" s="21"/>
      <c r="C198" s="21">
        <f t="shared" si="5"/>
        <v>3.5099583898915618</v>
      </c>
      <c r="D198" s="21"/>
    </row>
    <row r="199" spans="1:4" x14ac:dyDescent="0.25">
      <c r="A199" s="21">
        <v>1.76</v>
      </c>
      <c r="B199" s="21"/>
      <c r="C199" s="21">
        <f t="shared" si="5"/>
        <v>3.5082002749619989</v>
      </c>
      <c r="D199" s="21"/>
    </row>
    <row r="200" spans="1:4" x14ac:dyDescent="0.25">
      <c r="A200" s="21">
        <v>1.77</v>
      </c>
      <c r="B200" s="21"/>
      <c r="C200" s="21">
        <f t="shared" si="5"/>
        <v>3.5064421602452578</v>
      </c>
      <c r="D200" s="21"/>
    </row>
    <row r="201" spans="1:4" x14ac:dyDescent="0.25">
      <c r="A201" s="21">
        <v>1.78</v>
      </c>
      <c r="B201" s="21"/>
      <c r="C201" s="21">
        <f t="shared" si="5"/>
        <v>3.5046840457175108</v>
      </c>
      <c r="D201" s="21"/>
    </row>
    <row r="202" spans="1:4" x14ac:dyDescent="0.25">
      <c r="A202" s="21">
        <v>1.79</v>
      </c>
      <c r="B202" s="21"/>
      <c r="C202" s="21">
        <f t="shared" si="5"/>
        <v>3.5029259313575958</v>
      </c>
      <c r="D202" s="21"/>
    </row>
    <row r="203" spans="1:4" x14ac:dyDescent="0.25">
      <c r="A203" s="21">
        <v>1.8</v>
      </c>
      <c r="B203" s="21"/>
      <c r="C203" s="21">
        <f t="shared" si="5"/>
        <v>3.5011678171467224</v>
      </c>
      <c r="D203" s="21"/>
    </row>
    <row r="204" spans="1:4" x14ac:dyDescent="0.25">
      <c r="A204" s="21">
        <v>1.81</v>
      </c>
      <c r="B204" s="21"/>
      <c r="C204" s="21">
        <f t="shared" si="5"/>
        <v>3.4994097030682028</v>
      </c>
      <c r="D204" s="21"/>
    </row>
    <row r="205" spans="1:4" x14ac:dyDescent="0.25">
      <c r="A205" s="21">
        <v>1.82</v>
      </c>
      <c r="B205" s="21"/>
      <c r="C205" s="21">
        <f t="shared" si="5"/>
        <v>3.4976515891072175</v>
      </c>
      <c r="D205" s="21"/>
    </row>
    <row r="206" spans="1:4" x14ac:dyDescent="0.25">
      <c r="A206" s="21">
        <v>1.83</v>
      </c>
      <c r="B206" s="21"/>
      <c r="C206" s="21">
        <f t="shared" si="5"/>
        <v>3.4958934752506075</v>
      </c>
      <c r="D206" s="21"/>
    </row>
    <row r="207" spans="1:4" x14ac:dyDescent="0.25">
      <c r="A207" s="21">
        <v>1.84</v>
      </c>
      <c r="B207" s="21"/>
      <c r="C207" s="21">
        <f t="shared" si="5"/>
        <v>3.4941353614866859</v>
      </c>
      <c r="D207" s="21"/>
    </row>
    <row r="208" spans="1:4" x14ac:dyDescent="0.25">
      <c r="A208" s="21">
        <v>1.85</v>
      </c>
      <c r="B208" s="21"/>
      <c r="C208" s="21">
        <f t="shared" si="5"/>
        <v>3.4923772478050754</v>
      </c>
      <c r="D208" s="21"/>
    </row>
    <row r="209" spans="1:4" x14ac:dyDescent="0.25">
      <c r="A209" s="21">
        <v>1.86</v>
      </c>
      <c r="B209" s="21"/>
      <c r="C209" s="21">
        <f t="shared" si="5"/>
        <v>3.4906191341965593</v>
      </c>
      <c r="D209" s="21"/>
    </row>
    <row r="210" spans="1:4" x14ac:dyDescent="0.25">
      <c r="A210" s="21">
        <v>1.87</v>
      </c>
      <c r="B210" s="21"/>
      <c r="C210" s="21">
        <f t="shared" si="5"/>
        <v>3.4888610206529544</v>
      </c>
      <c r="D210" s="21"/>
    </row>
    <row r="211" spans="1:4" x14ac:dyDescent="0.25">
      <c r="A211" s="21">
        <v>1.88</v>
      </c>
      <c r="B211" s="21"/>
      <c r="C211" s="21">
        <f t="shared" si="5"/>
        <v>3.4871029071669923</v>
      </c>
      <c r="D211" s="21"/>
    </row>
    <row r="212" spans="1:4" x14ac:dyDescent="0.25">
      <c r="A212" s="21">
        <v>1.89</v>
      </c>
      <c r="B212" s="21"/>
      <c r="C212" s="21">
        <f t="shared" si="5"/>
        <v>3.4853447937322191</v>
      </c>
      <c r="D212" s="21"/>
    </row>
    <row r="213" spans="1:4" x14ac:dyDescent="0.25">
      <c r="A213" s="21">
        <v>1.9</v>
      </c>
      <c r="B213" s="21"/>
      <c r="C213" s="21">
        <f t="shared" si="5"/>
        <v>3.4835866803429032</v>
      </c>
      <c r="D213" s="21"/>
    </row>
    <row r="214" spans="1:4" x14ac:dyDescent="0.25">
      <c r="A214" s="21">
        <v>1.91</v>
      </c>
      <c r="B214" s="21"/>
      <c r="C214" s="21">
        <f t="shared" si="5"/>
        <v>3.481828566993955</v>
      </c>
      <c r="D214" s="21"/>
    </row>
    <row r="215" spans="1:4" x14ac:dyDescent="0.25">
      <c r="A215" s="21">
        <v>1.92</v>
      </c>
      <c r="B215" s="21"/>
      <c r="C215" s="21">
        <f t="shared" si="5"/>
        <v>3.4800704536808555</v>
      </c>
      <c r="D215" s="21"/>
    </row>
    <row r="216" spans="1:4" x14ac:dyDescent="0.25">
      <c r="A216" s="21">
        <v>1.93</v>
      </c>
      <c r="B216" s="21"/>
      <c r="C216" s="21">
        <f t="shared" si="5"/>
        <v>3.4783123403995901</v>
      </c>
      <c r="D216" s="21"/>
    </row>
    <row r="217" spans="1:4" x14ac:dyDescent="0.25">
      <c r="A217" s="21">
        <v>1.94</v>
      </c>
      <c r="B217" s="21"/>
      <c r="C217" s="21">
        <f t="shared" si="5"/>
        <v>3.476554227146595</v>
      </c>
      <c r="D217" s="21"/>
    </row>
    <row r="218" spans="1:4" x14ac:dyDescent="0.25">
      <c r="A218" s="21">
        <v>1.95</v>
      </c>
      <c r="B218" s="21"/>
      <c r="C218" s="21">
        <f t="shared" ref="C218:C281" si="6">$G$5+LOG10($G$2*EXP(-$G$3*A218)+(1-$G$2)*EXP(-$G$4*A218))</f>
        <v>3.4747961139187042</v>
      </c>
      <c r="D218" s="21"/>
    </row>
    <row r="219" spans="1:4" x14ac:dyDescent="0.25">
      <c r="A219" s="21">
        <v>1.96</v>
      </c>
      <c r="B219" s="21"/>
      <c r="C219" s="21">
        <f t="shared" si="6"/>
        <v>3.4730380007131076</v>
      </c>
      <c r="D219" s="21"/>
    </row>
    <row r="220" spans="1:4" x14ac:dyDescent="0.25">
      <c r="A220" s="21">
        <v>1.97</v>
      </c>
      <c r="B220" s="21"/>
      <c r="C220" s="21">
        <f t="shared" si="6"/>
        <v>3.4712798875273085</v>
      </c>
      <c r="D220" s="21"/>
    </row>
    <row r="221" spans="1:4" x14ac:dyDescent="0.25">
      <c r="A221" s="21">
        <v>1.98</v>
      </c>
      <c r="B221" s="21"/>
      <c r="C221" s="21">
        <f t="shared" si="6"/>
        <v>3.4695217743590905</v>
      </c>
      <c r="D221" s="21"/>
    </row>
    <row r="222" spans="1:4" x14ac:dyDescent="0.25">
      <c r="A222" s="21">
        <v>1.99</v>
      </c>
      <c r="B222" s="21"/>
      <c r="C222" s="21">
        <f t="shared" si="6"/>
        <v>3.4677636612064853</v>
      </c>
      <c r="D222" s="21"/>
    </row>
    <row r="223" spans="1:4" x14ac:dyDescent="0.25">
      <c r="A223" s="21">
        <v>2</v>
      </c>
      <c r="B223" s="21"/>
      <c r="C223" s="21">
        <f t="shared" si="6"/>
        <v>3.4660055480677445</v>
      </c>
      <c r="D223" s="21"/>
    </row>
    <row r="224" spans="1:4" x14ac:dyDescent="0.25">
      <c r="A224" s="21">
        <v>2.0099999999999998</v>
      </c>
      <c r="B224" s="21"/>
      <c r="C224" s="21">
        <f t="shared" si="6"/>
        <v>3.4642474349413162</v>
      </c>
      <c r="D224" s="21"/>
    </row>
    <row r="225" spans="1:4" x14ac:dyDescent="0.25">
      <c r="A225" s="21">
        <v>2.02</v>
      </c>
      <c r="B225" s="21"/>
      <c r="C225" s="21">
        <f t="shared" si="6"/>
        <v>3.4624893218258208</v>
      </c>
      <c r="D225" s="21"/>
    </row>
    <row r="226" spans="1:4" x14ac:dyDescent="0.25">
      <c r="A226" s="21">
        <v>2.0299999999999998</v>
      </c>
      <c r="B226" s="21"/>
      <c r="C226" s="21">
        <f t="shared" si="6"/>
        <v>3.4607312087200359</v>
      </c>
      <c r="D226" s="21"/>
    </row>
    <row r="227" spans="1:4" x14ac:dyDescent="0.25">
      <c r="A227" s="21">
        <v>2.04</v>
      </c>
      <c r="B227" s="21"/>
      <c r="C227" s="21">
        <f t="shared" si="6"/>
        <v>3.4589730956228726</v>
      </c>
      <c r="D227" s="21"/>
    </row>
    <row r="228" spans="1:4" x14ac:dyDescent="0.25">
      <c r="A228" s="21">
        <v>2.0499999999999998</v>
      </c>
      <c r="B228" s="21"/>
      <c r="C228" s="21">
        <f t="shared" si="6"/>
        <v>3.4572149825333662</v>
      </c>
      <c r="D228" s="21"/>
    </row>
    <row r="229" spans="1:4" x14ac:dyDescent="0.25">
      <c r="A229" s="21">
        <v>2.06</v>
      </c>
      <c r="B229" s="21"/>
      <c r="C229" s="21">
        <f t="shared" si="6"/>
        <v>3.4554568694506598</v>
      </c>
      <c r="D229" s="21"/>
    </row>
    <row r="230" spans="1:4" x14ac:dyDescent="0.25">
      <c r="A230" s="21">
        <v>2.0699999999999998</v>
      </c>
      <c r="B230" s="21"/>
      <c r="C230" s="21">
        <f t="shared" si="6"/>
        <v>3.453698756373992</v>
      </c>
      <c r="D230" s="21"/>
    </row>
    <row r="231" spans="1:4" x14ac:dyDescent="0.25">
      <c r="A231" s="21">
        <v>2.08</v>
      </c>
      <c r="B231" s="21"/>
      <c r="C231" s="21">
        <f t="shared" si="6"/>
        <v>3.4519406433026862</v>
      </c>
      <c r="D231" s="21"/>
    </row>
    <row r="232" spans="1:4" x14ac:dyDescent="0.25">
      <c r="A232" s="21">
        <v>2.09</v>
      </c>
      <c r="B232" s="21"/>
      <c r="C232" s="21">
        <f t="shared" si="6"/>
        <v>3.450182530236142</v>
      </c>
      <c r="D232" s="21"/>
    </row>
    <row r="233" spans="1:4" x14ac:dyDescent="0.25">
      <c r="A233" s="21">
        <v>2.1</v>
      </c>
      <c r="B233" s="21"/>
      <c r="C233" s="21">
        <f t="shared" si="6"/>
        <v>3.4484244171738263</v>
      </c>
      <c r="D233" s="21"/>
    </row>
    <row r="234" spans="1:4" x14ac:dyDescent="0.25">
      <c r="A234" s="21">
        <v>2.11</v>
      </c>
      <c r="B234" s="21"/>
      <c r="C234" s="21">
        <f t="shared" si="6"/>
        <v>3.4466663041152663</v>
      </c>
      <c r="D234" s="21"/>
    </row>
    <row r="235" spans="1:4" x14ac:dyDescent="0.25">
      <c r="A235" s="21">
        <v>2.12</v>
      </c>
      <c r="B235" s="21"/>
      <c r="C235" s="21">
        <f t="shared" si="6"/>
        <v>3.444908191060041</v>
      </c>
      <c r="D235" s="21"/>
    </row>
    <row r="236" spans="1:4" x14ac:dyDescent="0.25">
      <c r="A236" s="21">
        <v>2.13</v>
      </c>
      <c r="B236" s="21"/>
      <c r="C236" s="21">
        <f t="shared" si="6"/>
        <v>3.4431500780077768</v>
      </c>
      <c r="D236" s="21"/>
    </row>
    <row r="237" spans="1:4" x14ac:dyDescent="0.25">
      <c r="A237" s="21">
        <v>2.14</v>
      </c>
      <c r="B237" s="21"/>
      <c r="C237" s="21">
        <f t="shared" si="6"/>
        <v>3.4413919649581426</v>
      </c>
      <c r="D237" s="21"/>
    </row>
    <row r="238" spans="1:4" x14ac:dyDescent="0.25">
      <c r="A238" s="21">
        <v>2.15</v>
      </c>
      <c r="B238" s="21"/>
      <c r="C238" s="21">
        <f t="shared" si="6"/>
        <v>3.4396338519108438</v>
      </c>
      <c r="D238" s="21"/>
    </row>
    <row r="239" spans="1:4" x14ac:dyDescent="0.25">
      <c r="A239" s="21">
        <v>2.16</v>
      </c>
      <c r="B239" s="21"/>
      <c r="C239" s="21">
        <f t="shared" si="6"/>
        <v>3.4378757388656189</v>
      </c>
      <c r="D239" s="21"/>
    </row>
    <row r="240" spans="1:4" x14ac:dyDescent="0.25">
      <c r="A240" s="21">
        <v>2.17</v>
      </c>
      <c r="B240" s="21"/>
      <c r="C240" s="21">
        <f t="shared" si="6"/>
        <v>3.4361176258222357</v>
      </c>
      <c r="D240" s="21"/>
    </row>
    <row r="241" spans="1:4" x14ac:dyDescent="0.25">
      <c r="A241" s="21">
        <v>2.1800000000000002</v>
      </c>
      <c r="B241" s="21"/>
      <c r="C241" s="21">
        <f t="shared" si="6"/>
        <v>3.434359512780488</v>
      </c>
      <c r="D241" s="21"/>
    </row>
    <row r="242" spans="1:4" x14ac:dyDescent="0.25">
      <c r="A242" s="21">
        <v>2.19</v>
      </c>
      <c r="B242" s="21"/>
      <c r="C242" s="21">
        <f t="shared" si="6"/>
        <v>3.4326013997401925</v>
      </c>
      <c r="D242" s="21"/>
    </row>
    <row r="243" spans="1:4" x14ac:dyDescent="0.25">
      <c r="A243" s="21">
        <v>2.2000000000000002</v>
      </c>
      <c r="B243" s="21"/>
      <c r="C243" s="21">
        <f t="shared" si="6"/>
        <v>3.4308432867011867</v>
      </c>
      <c r="D243" s="21"/>
    </row>
    <row r="244" spans="1:4" x14ac:dyDescent="0.25">
      <c r="A244" s="21">
        <v>2.21</v>
      </c>
      <c r="B244" s="21"/>
      <c r="C244" s="21">
        <f t="shared" si="6"/>
        <v>3.4290851736633265</v>
      </c>
      <c r="D244" s="21"/>
    </row>
    <row r="245" spans="1:4" x14ac:dyDescent="0.25">
      <c r="A245" s="21">
        <v>2.2200000000000002</v>
      </c>
      <c r="B245" s="21"/>
      <c r="C245" s="21">
        <f t="shared" si="6"/>
        <v>3.4273270606264834</v>
      </c>
      <c r="D245" s="21"/>
    </row>
    <row r="246" spans="1:4" x14ac:dyDescent="0.25">
      <c r="A246" s="21">
        <v>2.23</v>
      </c>
      <c r="B246" s="21"/>
      <c r="C246" s="21">
        <f t="shared" si="6"/>
        <v>3.4255689475905431</v>
      </c>
      <c r="D246" s="21"/>
    </row>
    <row r="247" spans="1:4" x14ac:dyDescent="0.25">
      <c r="A247" s="21">
        <v>2.2400000000000002</v>
      </c>
      <c r="B247" s="21"/>
      <c r="C247" s="21">
        <f t="shared" si="6"/>
        <v>3.4238108345554052</v>
      </c>
      <c r="D247" s="21"/>
    </row>
    <row r="248" spans="1:4" x14ac:dyDescent="0.25">
      <c r="A248" s="21">
        <v>2.25</v>
      </c>
      <c r="B248" s="21"/>
      <c r="C248" s="21">
        <f t="shared" si="6"/>
        <v>3.4220527215209797</v>
      </c>
      <c r="D248" s="21"/>
    </row>
    <row r="249" spans="1:4" x14ac:dyDescent="0.25">
      <c r="A249" s="21">
        <v>2.2599999999999998</v>
      </c>
      <c r="B249" s="21"/>
      <c r="C249" s="21">
        <f t="shared" si="6"/>
        <v>3.4202946084871866</v>
      </c>
      <c r="D249" s="21"/>
    </row>
    <row r="250" spans="1:4" x14ac:dyDescent="0.25">
      <c r="A250" s="21">
        <v>2.27</v>
      </c>
      <c r="B250" s="21"/>
      <c r="C250" s="21">
        <f t="shared" si="6"/>
        <v>3.4185364954539552</v>
      </c>
      <c r="D250" s="21"/>
    </row>
    <row r="251" spans="1:4" x14ac:dyDescent="0.25">
      <c r="A251" s="21">
        <v>2.2799999999999998</v>
      </c>
      <c r="B251" s="21"/>
      <c r="C251" s="21">
        <f t="shared" si="6"/>
        <v>3.4167783824212226</v>
      </c>
      <c r="D251" s="21"/>
    </row>
    <row r="252" spans="1:4" x14ac:dyDescent="0.25">
      <c r="A252" s="21">
        <v>2.29</v>
      </c>
      <c r="B252" s="21"/>
      <c r="C252" s="21">
        <f t="shared" si="6"/>
        <v>3.4150202693889331</v>
      </c>
      <c r="D252" s="21"/>
    </row>
    <row r="253" spans="1:4" x14ac:dyDescent="0.25">
      <c r="A253" s="21">
        <v>2.2999999999999998</v>
      </c>
      <c r="B253" s="21"/>
      <c r="C253" s="21">
        <f t="shared" si="6"/>
        <v>3.4132621563570367</v>
      </c>
      <c r="D253" s="21"/>
    </row>
    <row r="254" spans="1:4" x14ac:dyDescent="0.25">
      <c r="A254" s="21">
        <v>2.31</v>
      </c>
      <c r="B254" s="21"/>
      <c r="C254" s="21">
        <f t="shared" si="6"/>
        <v>3.4115040433254897</v>
      </c>
      <c r="D254" s="21"/>
    </row>
    <row r="255" spans="1:4" x14ac:dyDescent="0.25">
      <c r="A255" s="21">
        <v>2.3199999999999998</v>
      </c>
      <c r="B255" s="21"/>
      <c r="C255" s="21">
        <f t="shared" si="6"/>
        <v>3.4097459302942532</v>
      </c>
      <c r="D255" s="21"/>
    </row>
    <row r="256" spans="1:4" x14ac:dyDescent="0.25">
      <c r="A256" s="21">
        <v>2.33</v>
      </c>
      <c r="B256" s="21"/>
      <c r="C256" s="21">
        <f t="shared" si="6"/>
        <v>3.407987817263292</v>
      </c>
      <c r="D256" s="21"/>
    </row>
    <row r="257" spans="1:4" x14ac:dyDescent="0.25">
      <c r="A257" s="21">
        <v>2.34</v>
      </c>
      <c r="B257" s="21"/>
      <c r="C257" s="21">
        <f t="shared" si="6"/>
        <v>3.4062297042325755</v>
      </c>
      <c r="D257" s="21"/>
    </row>
    <row r="258" spans="1:4" x14ac:dyDescent="0.25">
      <c r="A258" s="21">
        <v>2.35</v>
      </c>
      <c r="B258" s="21"/>
      <c r="C258" s="21">
        <f t="shared" si="6"/>
        <v>3.4044715912020762</v>
      </c>
      <c r="D258" s="21"/>
    </row>
    <row r="259" spans="1:4" x14ac:dyDescent="0.25">
      <c r="A259" s="21">
        <v>2.36</v>
      </c>
      <c r="B259" s="21"/>
      <c r="C259" s="21">
        <f t="shared" si="6"/>
        <v>3.4027134781717701</v>
      </c>
      <c r="D259" s="21"/>
    </row>
    <row r="260" spans="1:4" x14ac:dyDescent="0.25">
      <c r="A260" s="21">
        <v>2.37</v>
      </c>
      <c r="B260" s="21"/>
      <c r="C260" s="21">
        <f t="shared" si="6"/>
        <v>3.4009553651416349</v>
      </c>
      <c r="D260" s="21"/>
    </row>
    <row r="261" spans="1:4" x14ac:dyDescent="0.25">
      <c r="A261" s="21">
        <v>2.38</v>
      </c>
      <c r="B261" s="21"/>
      <c r="C261" s="21">
        <f t="shared" si="6"/>
        <v>3.399197252111652</v>
      </c>
      <c r="D261" s="21"/>
    </row>
    <row r="262" spans="1:4" x14ac:dyDescent="0.25">
      <c r="A262" s="21">
        <v>2.39</v>
      </c>
      <c r="B262" s="21"/>
      <c r="C262" s="21">
        <f t="shared" si="6"/>
        <v>3.3974391390818042</v>
      </c>
      <c r="D262" s="21"/>
    </row>
    <row r="263" spans="1:4" x14ac:dyDescent="0.25">
      <c r="A263" s="21">
        <v>2.4</v>
      </c>
      <c r="B263" s="21"/>
      <c r="C263" s="21">
        <f t="shared" si="6"/>
        <v>3.3956810260520762</v>
      </c>
      <c r="D263" s="21"/>
    </row>
    <row r="264" spans="1:4" x14ac:dyDescent="0.25">
      <c r="A264" s="21">
        <v>2.41</v>
      </c>
      <c r="B264" s="21"/>
      <c r="C264" s="21">
        <f t="shared" si="6"/>
        <v>3.3939229130224549</v>
      </c>
      <c r="D264" s="21"/>
    </row>
    <row r="265" spans="1:4" x14ac:dyDescent="0.25">
      <c r="A265" s="21">
        <v>2.42</v>
      </c>
      <c r="B265" s="21"/>
      <c r="C265" s="21">
        <f t="shared" si="6"/>
        <v>3.3921647999929281</v>
      </c>
      <c r="D265" s="21"/>
    </row>
    <row r="266" spans="1:4" x14ac:dyDescent="0.25">
      <c r="A266" s="21">
        <v>2.4300000000000002</v>
      </c>
      <c r="B266" s="21"/>
      <c r="C266" s="21">
        <f t="shared" si="6"/>
        <v>3.3904066869634857</v>
      </c>
      <c r="D266" s="21"/>
    </row>
    <row r="267" spans="1:4" x14ac:dyDescent="0.25">
      <c r="A267" s="21">
        <v>2.44</v>
      </c>
      <c r="B267" s="21"/>
      <c r="C267" s="21">
        <f t="shared" si="6"/>
        <v>3.3886485739341174</v>
      </c>
      <c r="D267" s="21"/>
    </row>
    <row r="268" spans="1:4" x14ac:dyDescent="0.25">
      <c r="A268" s="21">
        <v>2.4500000000000002</v>
      </c>
      <c r="B268" s="21"/>
      <c r="C268" s="21">
        <f t="shared" si="6"/>
        <v>3.3868904609048158</v>
      </c>
      <c r="D268" s="21"/>
    </row>
    <row r="269" spans="1:4" x14ac:dyDescent="0.25">
      <c r="A269" s="21">
        <v>2.46</v>
      </c>
      <c r="B269" s="21"/>
      <c r="C269" s="21">
        <f t="shared" si="6"/>
        <v>3.3851323478755728</v>
      </c>
      <c r="D269" s="21"/>
    </row>
    <row r="270" spans="1:4" x14ac:dyDescent="0.25">
      <c r="A270" s="21">
        <v>2.4700000000000002</v>
      </c>
      <c r="B270" s="21"/>
      <c r="C270" s="21">
        <f t="shared" si="6"/>
        <v>3.3833742348463822</v>
      </c>
      <c r="D270" s="21"/>
    </row>
    <row r="271" spans="1:4" x14ac:dyDescent="0.25">
      <c r="A271" s="21">
        <v>2.48</v>
      </c>
      <c r="B271" s="21"/>
      <c r="C271" s="21">
        <f t="shared" si="6"/>
        <v>3.3816161218172378</v>
      </c>
      <c r="D271" s="21"/>
    </row>
    <row r="272" spans="1:4" x14ac:dyDescent="0.25">
      <c r="A272" s="21">
        <v>2.4900000000000002</v>
      </c>
      <c r="B272" s="21"/>
      <c r="C272" s="21">
        <f t="shared" si="6"/>
        <v>3.3798580087881347</v>
      </c>
      <c r="D272" s="21"/>
    </row>
    <row r="273" spans="1:4" x14ac:dyDescent="0.25">
      <c r="A273" s="21">
        <v>2.5</v>
      </c>
      <c r="B273" s="21"/>
      <c r="C273" s="21">
        <f t="shared" si="6"/>
        <v>3.3780998957590684</v>
      </c>
      <c r="D273" s="21"/>
    </row>
    <row r="274" spans="1:4" x14ac:dyDescent="0.25">
      <c r="A274" s="21">
        <v>2.5099999999999998</v>
      </c>
      <c r="B274" s="21"/>
      <c r="C274" s="21">
        <f t="shared" si="6"/>
        <v>3.3763417827300342</v>
      </c>
      <c r="D274" s="21"/>
    </row>
    <row r="275" spans="1:4" x14ac:dyDescent="0.25">
      <c r="A275" s="21">
        <v>2.52</v>
      </c>
      <c r="B275" s="21"/>
      <c r="C275" s="21">
        <f t="shared" si="6"/>
        <v>3.3745836697010292</v>
      </c>
      <c r="D275" s="21"/>
    </row>
    <row r="276" spans="1:4" x14ac:dyDescent="0.25">
      <c r="A276" s="21">
        <v>2.5299999999999998</v>
      </c>
      <c r="B276" s="21"/>
      <c r="C276" s="21">
        <f t="shared" si="6"/>
        <v>3.3728255566720495</v>
      </c>
      <c r="D276" s="21"/>
    </row>
    <row r="277" spans="1:4" x14ac:dyDescent="0.25">
      <c r="A277" s="21">
        <v>2.54</v>
      </c>
      <c r="B277" s="21"/>
      <c r="C277" s="21">
        <f t="shared" si="6"/>
        <v>3.371067443643093</v>
      </c>
      <c r="D277" s="21"/>
    </row>
    <row r="278" spans="1:4" x14ac:dyDescent="0.25">
      <c r="A278" s="21">
        <v>2.5499999999999998</v>
      </c>
      <c r="B278" s="21"/>
      <c r="C278" s="21">
        <f t="shared" si="6"/>
        <v>3.3693093306141564</v>
      </c>
      <c r="D278" s="21"/>
    </row>
    <row r="279" spans="1:4" x14ac:dyDescent="0.25">
      <c r="A279" s="21">
        <v>2.56</v>
      </c>
      <c r="B279" s="21"/>
      <c r="C279" s="21">
        <f t="shared" si="6"/>
        <v>3.367551217585238</v>
      </c>
      <c r="D279" s="21"/>
    </row>
    <row r="280" spans="1:4" x14ac:dyDescent="0.25">
      <c r="A280" s="21">
        <v>2.57</v>
      </c>
      <c r="B280" s="21"/>
      <c r="C280" s="21">
        <f t="shared" si="6"/>
        <v>3.3657931045563352</v>
      </c>
      <c r="D280" s="21"/>
    </row>
    <row r="281" spans="1:4" x14ac:dyDescent="0.25">
      <c r="A281" s="21">
        <v>2.58</v>
      </c>
      <c r="B281" s="21"/>
      <c r="C281" s="21">
        <f t="shared" si="6"/>
        <v>3.3640349915274466</v>
      </c>
      <c r="D281" s="21"/>
    </row>
    <row r="282" spans="1:4" x14ac:dyDescent="0.25">
      <c r="A282" s="21">
        <v>2.59</v>
      </c>
      <c r="B282" s="21"/>
      <c r="C282" s="21">
        <f t="shared" ref="C282:C345" si="7">$G$5+LOG10($G$2*EXP(-$G$3*A282)+(1-$G$2)*EXP(-$G$4*A282))</f>
        <v>3.3622768784985708</v>
      </c>
      <c r="D282" s="21"/>
    </row>
    <row r="283" spans="1:4" x14ac:dyDescent="0.25">
      <c r="A283" s="21">
        <v>2.6</v>
      </c>
      <c r="B283" s="21"/>
      <c r="C283" s="21">
        <f t="shared" si="7"/>
        <v>3.3605187654697062</v>
      </c>
      <c r="D283" s="21"/>
    </row>
    <row r="284" spans="1:4" x14ac:dyDescent="0.25">
      <c r="A284" s="21">
        <v>2.61</v>
      </c>
      <c r="B284" s="21"/>
      <c r="C284" s="21">
        <f t="shared" si="7"/>
        <v>3.3587606524408513</v>
      </c>
      <c r="D284" s="21"/>
    </row>
    <row r="285" spans="1:4" x14ac:dyDescent="0.25">
      <c r="A285" s="21">
        <v>2.62</v>
      </c>
      <c r="B285" s="21"/>
      <c r="C285" s="21">
        <f t="shared" si="7"/>
        <v>3.3570025394120053</v>
      </c>
      <c r="D285" s="21"/>
    </row>
    <row r="286" spans="1:4" x14ac:dyDescent="0.25">
      <c r="A286" s="21">
        <v>2.63</v>
      </c>
      <c r="B286" s="21"/>
      <c r="C286" s="21">
        <f t="shared" si="7"/>
        <v>3.3552444263831669</v>
      </c>
      <c r="D286" s="21"/>
    </row>
    <row r="287" spans="1:4" x14ac:dyDescent="0.25">
      <c r="A287" s="21">
        <v>2.64</v>
      </c>
      <c r="B287" s="21"/>
      <c r="C287" s="21">
        <f t="shared" si="7"/>
        <v>3.3534863133543356</v>
      </c>
      <c r="D287" s="21"/>
    </row>
    <row r="288" spans="1:4" x14ac:dyDescent="0.25">
      <c r="A288" s="21">
        <v>2.65</v>
      </c>
      <c r="B288" s="21"/>
      <c r="C288" s="21">
        <f t="shared" si="7"/>
        <v>3.3517282003255104</v>
      </c>
      <c r="D288" s="21"/>
    </row>
    <row r="289" spans="1:4" x14ac:dyDescent="0.25">
      <c r="A289" s="21">
        <v>2.66</v>
      </c>
      <c r="B289" s="21"/>
      <c r="C289" s="21">
        <f t="shared" si="7"/>
        <v>3.3499700872966911</v>
      </c>
      <c r="D289" s="21"/>
    </row>
    <row r="290" spans="1:4" x14ac:dyDescent="0.25">
      <c r="A290" s="21">
        <v>2.67</v>
      </c>
      <c r="B290" s="21"/>
      <c r="C290" s="21">
        <f t="shared" si="7"/>
        <v>3.3482119742678762</v>
      </c>
      <c r="D290" s="21"/>
    </row>
    <row r="291" spans="1:4" x14ac:dyDescent="0.25">
      <c r="A291" s="21">
        <v>2.68</v>
      </c>
      <c r="B291" s="21"/>
      <c r="C291" s="21">
        <f t="shared" si="7"/>
        <v>3.3464538612390657</v>
      </c>
      <c r="D291" s="21"/>
    </row>
    <row r="292" spans="1:4" x14ac:dyDescent="0.25">
      <c r="A292" s="21">
        <v>2.69</v>
      </c>
      <c r="B292" s="21"/>
      <c r="C292" s="21">
        <f t="shared" si="7"/>
        <v>3.3446957482102588</v>
      </c>
      <c r="D292" s="21"/>
    </row>
    <row r="293" spans="1:4" x14ac:dyDescent="0.25">
      <c r="A293" s="21">
        <v>2.7</v>
      </c>
      <c r="B293" s="21"/>
      <c r="C293" s="21">
        <f t="shared" si="7"/>
        <v>3.3429376351814555</v>
      </c>
      <c r="D293" s="21"/>
    </row>
    <row r="294" spans="1:4" x14ac:dyDescent="0.25">
      <c r="A294" s="21">
        <v>2.71</v>
      </c>
      <c r="B294" s="21"/>
      <c r="C294" s="21">
        <f t="shared" si="7"/>
        <v>3.3411795221526557</v>
      </c>
      <c r="D294" s="21"/>
    </row>
    <row r="295" spans="1:4" x14ac:dyDescent="0.25">
      <c r="A295" s="21">
        <v>2.72</v>
      </c>
      <c r="B295" s="21"/>
      <c r="C295" s="21">
        <f t="shared" si="7"/>
        <v>3.3394214091238581</v>
      </c>
      <c r="D295" s="21"/>
    </row>
    <row r="296" spans="1:4" x14ac:dyDescent="0.25">
      <c r="A296" s="21">
        <v>2.73</v>
      </c>
      <c r="B296" s="21"/>
      <c r="C296" s="21">
        <f t="shared" si="7"/>
        <v>3.3376632960950627</v>
      </c>
      <c r="D296" s="21"/>
    </row>
    <row r="297" spans="1:4" x14ac:dyDescent="0.25">
      <c r="A297" s="21">
        <v>2.74</v>
      </c>
      <c r="B297" s="21"/>
      <c r="C297" s="21">
        <f t="shared" si="7"/>
        <v>3.3359051830662696</v>
      </c>
      <c r="D297" s="21"/>
    </row>
    <row r="298" spans="1:4" x14ac:dyDescent="0.25">
      <c r="A298" s="21">
        <v>2.75</v>
      </c>
      <c r="B298" s="21"/>
      <c r="C298" s="21">
        <f t="shared" si="7"/>
        <v>3.3341470700374787</v>
      </c>
      <c r="D298" s="21"/>
    </row>
    <row r="299" spans="1:4" x14ac:dyDescent="0.25">
      <c r="A299" s="21">
        <v>2.76</v>
      </c>
      <c r="B299" s="21"/>
      <c r="C299" s="21">
        <f t="shared" si="7"/>
        <v>3.3323889570086891</v>
      </c>
      <c r="D299" s="21"/>
    </row>
    <row r="300" spans="1:4" x14ac:dyDescent="0.25">
      <c r="A300" s="21">
        <v>2.77</v>
      </c>
      <c r="B300" s="21"/>
      <c r="C300" s="21">
        <f t="shared" si="7"/>
        <v>3.3306308439799008</v>
      </c>
      <c r="D300" s="21"/>
    </row>
    <row r="301" spans="1:4" x14ac:dyDescent="0.25">
      <c r="A301" s="21">
        <v>2.78</v>
      </c>
      <c r="B301" s="21"/>
      <c r="C301" s="21">
        <f t="shared" si="7"/>
        <v>3.3288727309511144</v>
      </c>
      <c r="D301" s="21"/>
    </row>
    <row r="302" spans="1:4" x14ac:dyDescent="0.25">
      <c r="A302" s="21">
        <v>2.79</v>
      </c>
      <c r="B302" s="21"/>
      <c r="C302" s="21">
        <f t="shared" si="7"/>
        <v>3.3271146179223288</v>
      </c>
      <c r="D302" s="21"/>
    </row>
    <row r="303" spans="1:4" x14ac:dyDescent="0.25">
      <c r="A303" s="21">
        <v>2.8</v>
      </c>
      <c r="B303" s="21"/>
      <c r="C303" s="21">
        <f t="shared" si="7"/>
        <v>3.3253565048935445</v>
      </c>
      <c r="D303" s="21"/>
    </row>
    <row r="304" spans="1:4" x14ac:dyDescent="0.25">
      <c r="A304" s="21">
        <v>2.81</v>
      </c>
      <c r="B304" s="21"/>
      <c r="C304" s="21">
        <f t="shared" si="7"/>
        <v>3.3235983918647611</v>
      </c>
      <c r="D304" s="21"/>
    </row>
    <row r="305" spans="1:4" x14ac:dyDescent="0.25">
      <c r="A305" s="21">
        <v>2.82</v>
      </c>
      <c r="B305" s="21"/>
      <c r="C305" s="21">
        <f t="shared" si="7"/>
        <v>3.3218402788359782</v>
      </c>
      <c r="D305" s="21"/>
    </row>
    <row r="306" spans="1:4" x14ac:dyDescent="0.25">
      <c r="A306" s="21">
        <v>2.83</v>
      </c>
      <c r="B306" s="21"/>
      <c r="C306" s="21">
        <f t="shared" si="7"/>
        <v>3.3200821658071962</v>
      </c>
      <c r="D306" s="21"/>
    </row>
    <row r="307" spans="1:4" x14ac:dyDescent="0.25">
      <c r="A307" s="21">
        <v>2.84</v>
      </c>
      <c r="B307" s="21"/>
      <c r="C307" s="21">
        <f t="shared" si="7"/>
        <v>3.3183240527784146</v>
      </c>
      <c r="D307" s="21"/>
    </row>
    <row r="308" spans="1:4" x14ac:dyDescent="0.25">
      <c r="A308" s="21">
        <v>2.85</v>
      </c>
      <c r="B308" s="21"/>
      <c r="C308" s="21">
        <f t="shared" si="7"/>
        <v>3.3165659397496339</v>
      </c>
      <c r="D308" s="21"/>
    </row>
    <row r="309" spans="1:4" x14ac:dyDescent="0.25">
      <c r="A309" s="21">
        <v>2.86</v>
      </c>
      <c r="B309" s="21"/>
      <c r="C309" s="21">
        <f t="shared" si="7"/>
        <v>3.3148078267208536</v>
      </c>
      <c r="D309" s="21"/>
    </row>
    <row r="310" spans="1:4" x14ac:dyDescent="0.25">
      <c r="A310" s="21">
        <v>2.87</v>
      </c>
      <c r="B310" s="21"/>
      <c r="C310" s="21">
        <f t="shared" si="7"/>
        <v>3.3130497136920738</v>
      </c>
      <c r="D310" s="21"/>
    </row>
    <row r="311" spans="1:4" x14ac:dyDescent="0.25">
      <c r="A311" s="21">
        <v>2.88</v>
      </c>
      <c r="B311" s="21"/>
      <c r="C311" s="21">
        <f t="shared" si="7"/>
        <v>3.3112916006632944</v>
      </c>
      <c r="D311" s="21"/>
    </row>
    <row r="312" spans="1:4" x14ac:dyDescent="0.25">
      <c r="A312" s="21">
        <v>2.89</v>
      </c>
      <c r="B312" s="21"/>
      <c r="C312" s="21">
        <f t="shared" si="7"/>
        <v>3.3095334876345155</v>
      </c>
      <c r="D312" s="21"/>
    </row>
    <row r="313" spans="1:4" x14ac:dyDescent="0.25">
      <c r="A313" s="21">
        <v>2.9</v>
      </c>
      <c r="B313" s="21"/>
      <c r="C313" s="21">
        <f t="shared" si="7"/>
        <v>3.3077753746057366</v>
      </c>
      <c r="D313" s="21"/>
    </row>
    <row r="314" spans="1:4" x14ac:dyDescent="0.25">
      <c r="A314" s="21">
        <v>2.91</v>
      </c>
      <c r="B314" s="21"/>
      <c r="C314" s="21">
        <f t="shared" si="7"/>
        <v>3.3060172615769581</v>
      </c>
      <c r="D314" s="21"/>
    </row>
    <row r="315" spans="1:4" x14ac:dyDescent="0.25">
      <c r="A315" s="21">
        <v>2.92</v>
      </c>
      <c r="B315" s="21"/>
      <c r="C315" s="21">
        <f t="shared" si="7"/>
        <v>3.30425914854818</v>
      </c>
      <c r="D315" s="21"/>
    </row>
    <row r="316" spans="1:4" x14ac:dyDescent="0.25">
      <c r="A316" s="21">
        <v>2.93</v>
      </c>
      <c r="B316" s="21"/>
      <c r="C316" s="21">
        <f t="shared" si="7"/>
        <v>3.302501035519402</v>
      </c>
      <c r="D316" s="21"/>
    </row>
    <row r="317" spans="1:4" x14ac:dyDescent="0.25">
      <c r="A317" s="21">
        <v>2.94</v>
      </c>
      <c r="B317" s="21"/>
      <c r="C317" s="21">
        <f t="shared" si="7"/>
        <v>3.300742922490624</v>
      </c>
      <c r="D317" s="21"/>
    </row>
    <row r="318" spans="1:4" x14ac:dyDescent="0.25">
      <c r="A318" s="21">
        <v>2.95</v>
      </c>
      <c r="B318" s="21"/>
      <c r="C318" s="21">
        <f t="shared" si="7"/>
        <v>3.2989848094618464</v>
      </c>
      <c r="D318" s="21"/>
    </row>
    <row r="319" spans="1:4" x14ac:dyDescent="0.25">
      <c r="A319" s="21">
        <v>2.96</v>
      </c>
      <c r="B319" s="21"/>
      <c r="C319" s="21">
        <f t="shared" si="7"/>
        <v>3.2972266964330692</v>
      </c>
      <c r="D319" s="21"/>
    </row>
    <row r="320" spans="1:4" x14ac:dyDescent="0.25">
      <c r="A320" s="21">
        <v>2.97</v>
      </c>
      <c r="B320" s="21"/>
      <c r="C320" s="21">
        <f t="shared" si="7"/>
        <v>3.2954685834042916</v>
      </c>
      <c r="D320" s="21"/>
    </row>
    <row r="321" spans="1:4" x14ac:dyDescent="0.25">
      <c r="A321" s="21">
        <v>2.98</v>
      </c>
      <c r="B321" s="21"/>
      <c r="C321" s="21">
        <f t="shared" si="7"/>
        <v>3.2937104703755145</v>
      </c>
      <c r="D321" s="21"/>
    </row>
    <row r="322" spans="1:4" x14ac:dyDescent="0.25">
      <c r="A322" s="21">
        <v>2.99</v>
      </c>
      <c r="B322" s="21"/>
      <c r="C322" s="21">
        <f t="shared" si="7"/>
        <v>3.2919523573467373</v>
      </c>
      <c r="D322" s="21"/>
    </row>
    <row r="323" spans="1:4" x14ac:dyDescent="0.25">
      <c r="A323" s="21">
        <v>3</v>
      </c>
      <c r="B323" s="21"/>
      <c r="C323" s="21">
        <f t="shared" si="7"/>
        <v>3.2901942443179606</v>
      </c>
      <c r="D323" s="21"/>
    </row>
    <row r="324" spans="1:4" x14ac:dyDescent="0.25">
      <c r="A324" s="21">
        <v>3.01</v>
      </c>
      <c r="B324" s="21"/>
      <c r="C324" s="21">
        <f t="shared" si="7"/>
        <v>3.2884361312891834</v>
      </c>
      <c r="D324" s="21"/>
    </row>
    <row r="325" spans="1:4" x14ac:dyDescent="0.25">
      <c r="A325" s="21">
        <v>3.02</v>
      </c>
      <c r="B325" s="21"/>
      <c r="C325" s="21">
        <f t="shared" si="7"/>
        <v>3.2866780182604067</v>
      </c>
      <c r="D325" s="21"/>
    </row>
    <row r="326" spans="1:4" x14ac:dyDescent="0.25">
      <c r="A326" s="21">
        <v>3.03</v>
      </c>
      <c r="B326" s="21"/>
      <c r="C326" s="21">
        <f t="shared" si="7"/>
        <v>3.28491990523163</v>
      </c>
      <c r="D326" s="21"/>
    </row>
    <row r="327" spans="1:4" x14ac:dyDescent="0.25">
      <c r="A327" s="21">
        <v>3.04</v>
      </c>
      <c r="B327" s="21"/>
      <c r="C327" s="21">
        <f t="shared" si="7"/>
        <v>3.2831617922028533</v>
      </c>
      <c r="D327" s="21"/>
    </row>
    <row r="328" spans="1:4" x14ac:dyDescent="0.25">
      <c r="A328" s="21">
        <v>3.05</v>
      </c>
      <c r="B328" s="21"/>
      <c r="C328" s="21">
        <f t="shared" si="7"/>
        <v>3.2814036791740766</v>
      </c>
      <c r="D328" s="21"/>
    </row>
    <row r="329" spans="1:4" x14ac:dyDescent="0.25">
      <c r="A329" s="21">
        <v>3.06</v>
      </c>
      <c r="B329" s="21"/>
      <c r="C329" s="21">
        <f t="shared" si="7"/>
        <v>3.2796455661452999</v>
      </c>
      <c r="D329" s="21"/>
    </row>
    <row r="330" spans="1:4" x14ac:dyDescent="0.25">
      <c r="A330" s="21">
        <v>3.07</v>
      </c>
      <c r="B330" s="21"/>
      <c r="C330" s="21">
        <f t="shared" si="7"/>
        <v>3.2778874531165232</v>
      </c>
      <c r="D330" s="21"/>
    </row>
    <row r="331" spans="1:4" x14ac:dyDescent="0.25">
      <c r="A331" s="21">
        <v>3.08</v>
      </c>
      <c r="B331" s="21"/>
      <c r="C331" s="21">
        <f t="shared" si="7"/>
        <v>3.2761293400877465</v>
      </c>
      <c r="D331" s="21"/>
    </row>
    <row r="332" spans="1:4" x14ac:dyDescent="0.25">
      <c r="A332" s="21">
        <v>3.09</v>
      </c>
      <c r="B332" s="21"/>
      <c r="C332" s="21">
        <f t="shared" si="7"/>
        <v>3.2743712270589702</v>
      </c>
      <c r="D332" s="21"/>
    </row>
    <row r="333" spans="1:4" x14ac:dyDescent="0.25">
      <c r="A333" s="21">
        <v>3.1</v>
      </c>
      <c r="B333" s="21"/>
      <c r="C333" s="21">
        <f t="shared" si="7"/>
        <v>3.2726131140301935</v>
      </c>
      <c r="D333" s="21"/>
    </row>
    <row r="334" spans="1:4" x14ac:dyDescent="0.25">
      <c r="A334" s="21">
        <v>3.11</v>
      </c>
      <c r="B334" s="21"/>
      <c r="C334" s="21">
        <f t="shared" si="7"/>
        <v>3.2708550010014172</v>
      </c>
      <c r="D334" s="21"/>
    </row>
    <row r="335" spans="1:4" x14ac:dyDescent="0.25">
      <c r="A335" s="21">
        <v>3.12</v>
      </c>
      <c r="B335" s="21"/>
      <c r="C335" s="21">
        <f t="shared" si="7"/>
        <v>3.269096887972641</v>
      </c>
      <c r="D335" s="21"/>
    </row>
    <row r="336" spans="1:4" x14ac:dyDescent="0.25">
      <c r="A336" s="21">
        <v>3.13</v>
      </c>
      <c r="B336" s="21"/>
      <c r="C336" s="21">
        <f t="shared" si="7"/>
        <v>3.2673387749438643</v>
      </c>
      <c r="D336" s="21"/>
    </row>
    <row r="337" spans="1:4" x14ac:dyDescent="0.25">
      <c r="A337" s="21">
        <v>3.14</v>
      </c>
      <c r="B337" s="21"/>
      <c r="C337" s="21">
        <f t="shared" si="7"/>
        <v>3.265580661915088</v>
      </c>
      <c r="D337" s="21"/>
    </row>
    <row r="338" spans="1:4" x14ac:dyDescent="0.25">
      <c r="A338" s="21">
        <v>3.15</v>
      </c>
      <c r="B338" s="21"/>
      <c r="C338" s="21">
        <f t="shared" si="7"/>
        <v>3.2638225488863117</v>
      </c>
      <c r="D338" s="21"/>
    </row>
    <row r="339" spans="1:4" x14ac:dyDescent="0.25">
      <c r="A339" s="21">
        <v>3.16</v>
      </c>
      <c r="B339" s="21"/>
      <c r="C339" s="21">
        <f t="shared" si="7"/>
        <v>3.2620644358575355</v>
      </c>
      <c r="D339" s="21"/>
    </row>
    <row r="340" spans="1:4" x14ac:dyDescent="0.25">
      <c r="A340" s="21">
        <v>3.17</v>
      </c>
      <c r="B340" s="21"/>
      <c r="C340" s="21">
        <f t="shared" si="7"/>
        <v>3.2603063228287588</v>
      </c>
      <c r="D340" s="21"/>
    </row>
    <row r="341" spans="1:4" x14ac:dyDescent="0.25">
      <c r="A341" s="21">
        <v>3.18</v>
      </c>
      <c r="B341" s="21"/>
      <c r="C341" s="21">
        <f t="shared" si="7"/>
        <v>3.2585482097999825</v>
      </c>
      <c r="D341" s="21"/>
    </row>
    <row r="342" spans="1:4" x14ac:dyDescent="0.25">
      <c r="A342" s="21">
        <v>3.19</v>
      </c>
      <c r="B342" s="21"/>
      <c r="C342" s="21">
        <f t="shared" si="7"/>
        <v>3.2567900967712062</v>
      </c>
      <c r="D342" s="21"/>
    </row>
    <row r="343" spans="1:4" x14ac:dyDescent="0.25">
      <c r="A343" s="21">
        <v>3.2</v>
      </c>
      <c r="B343" s="21"/>
      <c r="C343" s="21">
        <f t="shared" si="7"/>
        <v>3.25503198374243</v>
      </c>
      <c r="D343" s="21"/>
    </row>
    <row r="344" spans="1:4" x14ac:dyDescent="0.25">
      <c r="A344" s="21">
        <v>3.21</v>
      </c>
      <c r="B344" s="21"/>
      <c r="C344" s="21">
        <f t="shared" si="7"/>
        <v>3.2532738707136537</v>
      </c>
      <c r="D344" s="21"/>
    </row>
    <row r="345" spans="1:4" x14ac:dyDescent="0.25">
      <c r="A345" s="21">
        <v>3.22</v>
      </c>
      <c r="B345" s="21"/>
      <c r="C345" s="21">
        <f t="shared" si="7"/>
        <v>3.2515157576848774</v>
      </c>
      <c r="D345" s="21"/>
    </row>
    <row r="346" spans="1:4" x14ac:dyDescent="0.25">
      <c r="A346" s="21">
        <v>3.23</v>
      </c>
      <c r="B346" s="21"/>
      <c r="C346" s="21">
        <f t="shared" ref="C346:C409" si="8">$G$5+LOG10($G$2*EXP(-$G$3*A346)+(1-$G$2)*EXP(-$G$4*A346))</f>
        <v>3.2497576446561012</v>
      </c>
      <c r="D346" s="21"/>
    </row>
    <row r="347" spans="1:4" x14ac:dyDescent="0.25">
      <c r="A347" s="21">
        <v>3.24</v>
      </c>
      <c r="B347" s="21"/>
      <c r="C347" s="21">
        <f t="shared" si="8"/>
        <v>3.2479995316273249</v>
      </c>
      <c r="D347" s="21"/>
    </row>
    <row r="348" spans="1:4" x14ac:dyDescent="0.25">
      <c r="A348" s="21">
        <v>3.25</v>
      </c>
      <c r="B348" s="21"/>
      <c r="C348" s="21">
        <f t="shared" si="8"/>
        <v>3.2462414185985486</v>
      </c>
      <c r="D348" s="21"/>
    </row>
    <row r="349" spans="1:4" x14ac:dyDescent="0.25">
      <c r="A349" s="21">
        <v>3.26</v>
      </c>
      <c r="B349" s="21"/>
      <c r="C349" s="21">
        <f t="shared" si="8"/>
        <v>3.2444833055697724</v>
      </c>
      <c r="D349" s="21"/>
    </row>
    <row r="350" spans="1:4" x14ac:dyDescent="0.25">
      <c r="A350" s="21">
        <v>3.27</v>
      </c>
      <c r="B350" s="21"/>
      <c r="C350" s="21">
        <f t="shared" si="8"/>
        <v>3.2427251925409961</v>
      </c>
      <c r="D350" s="21"/>
    </row>
    <row r="351" spans="1:4" x14ac:dyDescent="0.25">
      <c r="A351" s="21">
        <v>3.28</v>
      </c>
      <c r="B351" s="21"/>
      <c r="C351" s="21">
        <f t="shared" si="8"/>
        <v>3.2409670795122199</v>
      </c>
      <c r="D351" s="21"/>
    </row>
    <row r="352" spans="1:4" x14ac:dyDescent="0.25">
      <c r="A352" s="21">
        <v>3.29</v>
      </c>
      <c r="B352" s="21"/>
      <c r="C352" s="21">
        <f t="shared" si="8"/>
        <v>3.2392089664834436</v>
      </c>
      <c r="D352" s="21"/>
    </row>
    <row r="353" spans="1:4" x14ac:dyDescent="0.25">
      <c r="A353" s="21">
        <v>3.3</v>
      </c>
      <c r="B353" s="21"/>
      <c r="C353" s="21">
        <f t="shared" si="8"/>
        <v>3.2374508534546673</v>
      </c>
      <c r="D353" s="21"/>
    </row>
    <row r="354" spans="1:4" x14ac:dyDescent="0.25">
      <c r="A354" s="21">
        <v>3.31</v>
      </c>
      <c r="B354" s="21"/>
      <c r="C354" s="21">
        <f t="shared" si="8"/>
        <v>3.2356927404258911</v>
      </c>
      <c r="D354" s="21"/>
    </row>
    <row r="355" spans="1:4" x14ac:dyDescent="0.25">
      <c r="A355" s="21">
        <v>3.32</v>
      </c>
      <c r="B355" s="21"/>
      <c r="C355" s="21">
        <f t="shared" si="8"/>
        <v>3.2339346273971148</v>
      </c>
      <c r="D355" s="21"/>
    </row>
    <row r="356" spans="1:4" x14ac:dyDescent="0.25">
      <c r="A356" s="21">
        <v>3.33</v>
      </c>
      <c r="B356" s="21"/>
      <c r="C356" s="21">
        <f t="shared" si="8"/>
        <v>3.2321765143683385</v>
      </c>
      <c r="D356" s="21"/>
    </row>
    <row r="357" spans="1:4" x14ac:dyDescent="0.25">
      <c r="A357" s="21">
        <v>3.34</v>
      </c>
      <c r="B357" s="21"/>
      <c r="C357" s="21">
        <f t="shared" si="8"/>
        <v>3.2304184013395623</v>
      </c>
      <c r="D357" s="21"/>
    </row>
    <row r="358" spans="1:4" x14ac:dyDescent="0.25">
      <c r="A358" s="21">
        <v>3.35</v>
      </c>
      <c r="B358" s="21"/>
      <c r="C358" s="21">
        <f t="shared" si="8"/>
        <v>3.228660288310786</v>
      </c>
      <c r="D358" s="21"/>
    </row>
    <row r="359" spans="1:4" x14ac:dyDescent="0.25">
      <c r="A359" s="21">
        <v>3.36</v>
      </c>
      <c r="B359" s="21"/>
      <c r="C359" s="21">
        <f t="shared" si="8"/>
        <v>3.2269021752820097</v>
      </c>
      <c r="D359" s="21"/>
    </row>
    <row r="360" spans="1:4" x14ac:dyDescent="0.25">
      <c r="A360" s="21">
        <v>3.37</v>
      </c>
      <c r="B360" s="21"/>
      <c r="C360" s="21">
        <f t="shared" si="8"/>
        <v>3.2251440622532335</v>
      </c>
      <c r="D360" s="21"/>
    </row>
    <row r="361" spans="1:4" x14ac:dyDescent="0.25">
      <c r="A361" s="21">
        <v>3.38</v>
      </c>
      <c r="B361" s="21"/>
      <c r="C361" s="21">
        <f t="shared" si="8"/>
        <v>3.2233859492244572</v>
      </c>
      <c r="D361" s="21"/>
    </row>
    <row r="362" spans="1:4" x14ac:dyDescent="0.25">
      <c r="A362" s="21">
        <v>3.39</v>
      </c>
      <c r="B362" s="21"/>
      <c r="C362" s="21">
        <f t="shared" si="8"/>
        <v>3.2216278361956809</v>
      </c>
      <c r="D362" s="21"/>
    </row>
    <row r="363" spans="1:4" x14ac:dyDescent="0.25">
      <c r="A363" s="21">
        <v>3.4</v>
      </c>
      <c r="B363" s="21"/>
      <c r="C363" s="21">
        <f t="shared" si="8"/>
        <v>3.2198697231669047</v>
      </c>
      <c r="D363" s="21"/>
    </row>
    <row r="364" spans="1:4" x14ac:dyDescent="0.25">
      <c r="A364" s="21">
        <v>3.41</v>
      </c>
      <c r="B364" s="21"/>
      <c r="C364" s="21">
        <f t="shared" si="8"/>
        <v>3.2181116101381284</v>
      </c>
      <c r="D364" s="21"/>
    </row>
    <row r="365" spans="1:4" x14ac:dyDescent="0.25">
      <c r="A365" s="21">
        <v>3.42</v>
      </c>
      <c r="B365" s="21"/>
      <c r="C365" s="21">
        <f t="shared" si="8"/>
        <v>3.2163534971093521</v>
      </c>
      <c r="D365" s="21"/>
    </row>
    <row r="366" spans="1:4" x14ac:dyDescent="0.25">
      <c r="A366" s="21">
        <v>3.43</v>
      </c>
      <c r="B366" s="21"/>
      <c r="C366" s="21">
        <f t="shared" si="8"/>
        <v>3.2145953840805759</v>
      </c>
      <c r="D366" s="21"/>
    </row>
    <row r="367" spans="1:4" x14ac:dyDescent="0.25">
      <c r="A367" s="21">
        <v>3.44</v>
      </c>
      <c r="B367" s="21"/>
      <c r="C367" s="21">
        <f t="shared" si="8"/>
        <v>3.2128372710517996</v>
      </c>
      <c r="D367" s="21"/>
    </row>
    <row r="368" spans="1:4" x14ac:dyDescent="0.25">
      <c r="A368" s="21">
        <v>3.45</v>
      </c>
      <c r="B368" s="21"/>
      <c r="C368" s="21">
        <f t="shared" si="8"/>
        <v>3.2110791580230233</v>
      </c>
      <c r="D368" s="21"/>
    </row>
    <row r="369" spans="1:4" x14ac:dyDescent="0.25">
      <c r="A369" s="21">
        <v>3.46</v>
      </c>
      <c r="B369" s="21"/>
      <c r="C369" s="21">
        <f t="shared" si="8"/>
        <v>3.2093210449942471</v>
      </c>
      <c r="D369" s="21"/>
    </row>
    <row r="370" spans="1:4" x14ac:dyDescent="0.25">
      <c r="A370" s="21">
        <v>3.47</v>
      </c>
      <c r="B370" s="21"/>
      <c r="C370" s="21">
        <f t="shared" si="8"/>
        <v>3.2075629319654708</v>
      </c>
      <c r="D370" s="21"/>
    </row>
    <row r="371" spans="1:4" x14ac:dyDescent="0.25">
      <c r="A371" s="21">
        <v>3.48</v>
      </c>
      <c r="B371" s="21"/>
      <c r="C371" s="21">
        <f t="shared" si="8"/>
        <v>3.2058048189366946</v>
      </c>
      <c r="D371" s="21"/>
    </row>
    <row r="372" spans="1:4" x14ac:dyDescent="0.25">
      <c r="A372" s="21">
        <v>3.49</v>
      </c>
      <c r="B372" s="21"/>
      <c r="C372" s="21">
        <f t="shared" si="8"/>
        <v>3.2040467059079183</v>
      </c>
      <c r="D372" s="21"/>
    </row>
    <row r="373" spans="1:4" x14ac:dyDescent="0.25">
      <c r="A373" s="21">
        <v>3.5</v>
      </c>
      <c r="B373" s="21"/>
      <c r="C373" s="21">
        <f t="shared" si="8"/>
        <v>3.202288592879142</v>
      </c>
      <c r="D373" s="21"/>
    </row>
    <row r="374" spans="1:4" x14ac:dyDescent="0.25">
      <c r="A374" s="21">
        <v>3.51</v>
      </c>
      <c r="B374" s="21"/>
      <c r="C374" s="21">
        <f t="shared" si="8"/>
        <v>3.2005304798503662</v>
      </c>
      <c r="D374" s="21"/>
    </row>
    <row r="375" spans="1:4" x14ac:dyDescent="0.25">
      <c r="A375" s="21">
        <v>3.52</v>
      </c>
      <c r="B375" s="21"/>
      <c r="C375" s="21">
        <f t="shared" si="8"/>
        <v>3.1987723668215899</v>
      </c>
      <c r="D375" s="21"/>
    </row>
    <row r="376" spans="1:4" x14ac:dyDescent="0.25">
      <c r="A376" s="21">
        <v>3.53</v>
      </c>
      <c r="B376" s="21"/>
      <c r="C376" s="21">
        <f t="shared" si="8"/>
        <v>3.1970142537928132</v>
      </c>
      <c r="D376" s="21"/>
    </row>
    <row r="377" spans="1:4" x14ac:dyDescent="0.25">
      <c r="A377" s="21">
        <v>3.54</v>
      </c>
      <c r="B377" s="21"/>
      <c r="C377" s="21">
        <f t="shared" si="8"/>
        <v>3.195256140764037</v>
      </c>
      <c r="D377" s="21"/>
    </row>
    <row r="378" spans="1:4" x14ac:dyDescent="0.25">
      <c r="A378" s="21">
        <v>3.55</v>
      </c>
      <c r="B378" s="21"/>
      <c r="C378" s="21">
        <f t="shared" si="8"/>
        <v>3.1934980277352611</v>
      </c>
      <c r="D378" s="21"/>
    </row>
    <row r="379" spans="1:4" x14ac:dyDescent="0.25">
      <c r="A379" s="21">
        <v>3.56</v>
      </c>
      <c r="B379" s="21"/>
      <c r="C379" s="21">
        <f t="shared" si="8"/>
        <v>3.1917399147064849</v>
      </c>
      <c r="D379" s="21"/>
    </row>
    <row r="380" spans="1:4" x14ac:dyDescent="0.25">
      <c r="A380" s="21">
        <v>3.57</v>
      </c>
      <c r="B380" s="21"/>
      <c r="C380" s="21">
        <f t="shared" si="8"/>
        <v>3.1899818016777086</v>
      </c>
      <c r="D380" s="21"/>
    </row>
    <row r="381" spans="1:4" x14ac:dyDescent="0.25">
      <c r="A381" s="21">
        <v>3.58</v>
      </c>
      <c r="B381" s="21"/>
      <c r="C381" s="21">
        <f t="shared" si="8"/>
        <v>3.1882236886489324</v>
      </c>
      <c r="D381" s="21"/>
    </row>
    <row r="382" spans="1:4" x14ac:dyDescent="0.25">
      <c r="A382" s="21">
        <v>3.59</v>
      </c>
      <c r="B382" s="21"/>
      <c r="C382" s="21">
        <f t="shared" si="8"/>
        <v>3.1864655756201561</v>
      </c>
      <c r="D382" s="21"/>
    </row>
    <row r="383" spans="1:4" x14ac:dyDescent="0.25">
      <c r="A383" s="21">
        <v>3.6</v>
      </c>
      <c r="B383" s="21"/>
      <c r="C383" s="21">
        <f t="shared" si="8"/>
        <v>3.1847074625913798</v>
      </c>
      <c r="D383" s="21"/>
    </row>
    <row r="384" spans="1:4" x14ac:dyDescent="0.25">
      <c r="A384" s="21">
        <v>3.61</v>
      </c>
      <c r="B384" s="21"/>
      <c r="C384" s="21">
        <f t="shared" si="8"/>
        <v>3.1829493495626036</v>
      </c>
      <c r="D384" s="21"/>
    </row>
    <row r="385" spans="1:4" x14ac:dyDescent="0.25">
      <c r="A385" s="21">
        <v>3.62</v>
      </c>
      <c r="B385" s="21"/>
      <c r="C385" s="21">
        <f t="shared" si="8"/>
        <v>3.1811912365338273</v>
      </c>
      <c r="D385" s="21"/>
    </row>
    <row r="386" spans="1:4" x14ac:dyDescent="0.25">
      <c r="A386" s="21">
        <v>3.63</v>
      </c>
      <c r="B386" s="21"/>
      <c r="C386" s="21">
        <f t="shared" si="8"/>
        <v>3.179433123505051</v>
      </c>
      <c r="D386" s="21"/>
    </row>
    <row r="387" spans="1:4" x14ac:dyDescent="0.25">
      <c r="A387" s="21">
        <v>3.64</v>
      </c>
      <c r="B387" s="21"/>
      <c r="C387" s="21">
        <f t="shared" si="8"/>
        <v>3.1776750104762748</v>
      </c>
      <c r="D387" s="21"/>
    </row>
    <row r="388" spans="1:4" x14ac:dyDescent="0.25">
      <c r="A388" s="21">
        <v>3.65</v>
      </c>
      <c r="B388" s="21"/>
      <c r="C388" s="21">
        <f t="shared" si="8"/>
        <v>3.1759168974474985</v>
      </c>
      <c r="D388" s="21"/>
    </row>
    <row r="389" spans="1:4" x14ac:dyDescent="0.25">
      <c r="A389" s="21">
        <v>3.66</v>
      </c>
      <c r="B389" s="21"/>
      <c r="C389" s="21">
        <f t="shared" si="8"/>
        <v>3.1741587844187222</v>
      </c>
      <c r="D389" s="21"/>
    </row>
    <row r="390" spans="1:4" x14ac:dyDescent="0.25">
      <c r="A390" s="21">
        <v>3.67</v>
      </c>
      <c r="B390" s="21"/>
      <c r="C390" s="21">
        <f t="shared" si="8"/>
        <v>3.172400671389946</v>
      </c>
      <c r="D390" s="21"/>
    </row>
    <row r="391" spans="1:4" x14ac:dyDescent="0.25">
      <c r="A391" s="21">
        <v>3.68</v>
      </c>
      <c r="B391" s="21"/>
      <c r="C391" s="21">
        <f t="shared" si="8"/>
        <v>3.1706425583611697</v>
      </c>
      <c r="D391" s="21"/>
    </row>
    <row r="392" spans="1:4" x14ac:dyDescent="0.25">
      <c r="A392" s="21">
        <v>3.69</v>
      </c>
      <c r="B392" s="21"/>
      <c r="C392" s="21">
        <f t="shared" si="8"/>
        <v>3.1688844453323934</v>
      </c>
      <c r="D392" s="21"/>
    </row>
    <row r="393" spans="1:4" x14ac:dyDescent="0.25">
      <c r="A393" s="21">
        <v>3.7</v>
      </c>
      <c r="B393" s="21"/>
      <c r="C393" s="21">
        <f t="shared" si="8"/>
        <v>3.1671263323036176</v>
      </c>
      <c r="D393" s="21"/>
    </row>
    <row r="394" spans="1:4" x14ac:dyDescent="0.25">
      <c r="A394" s="21">
        <v>3.71</v>
      </c>
      <c r="B394" s="21"/>
      <c r="C394" s="21">
        <f t="shared" si="8"/>
        <v>3.1653682192748409</v>
      </c>
      <c r="D394" s="21"/>
    </row>
    <row r="395" spans="1:4" x14ac:dyDescent="0.25">
      <c r="A395" s="21">
        <v>3.72</v>
      </c>
      <c r="B395" s="21"/>
      <c r="C395" s="21">
        <f t="shared" si="8"/>
        <v>3.1636101062460646</v>
      </c>
      <c r="D395" s="21"/>
    </row>
    <row r="396" spans="1:4" x14ac:dyDescent="0.25">
      <c r="A396" s="21">
        <v>3.73</v>
      </c>
      <c r="B396" s="21"/>
      <c r="C396" s="21">
        <f t="shared" si="8"/>
        <v>3.1618519932172888</v>
      </c>
      <c r="D396" s="21"/>
    </row>
    <row r="397" spans="1:4" x14ac:dyDescent="0.25">
      <c r="A397" s="21">
        <v>3.74</v>
      </c>
      <c r="B397" s="21"/>
      <c r="C397" s="21">
        <f t="shared" si="8"/>
        <v>3.1600938801885126</v>
      </c>
      <c r="D397" s="21"/>
    </row>
    <row r="398" spans="1:4" x14ac:dyDescent="0.25">
      <c r="A398" s="21">
        <v>3.75</v>
      </c>
      <c r="B398" s="21"/>
      <c r="C398" s="21">
        <f t="shared" si="8"/>
        <v>3.1583357671597363</v>
      </c>
      <c r="D398" s="21"/>
    </row>
    <row r="399" spans="1:4" x14ac:dyDescent="0.25">
      <c r="A399" s="21">
        <v>3.76</v>
      </c>
      <c r="B399" s="21"/>
      <c r="C399" s="21">
        <f t="shared" si="8"/>
        <v>3.15657765413096</v>
      </c>
      <c r="D399" s="21"/>
    </row>
    <row r="400" spans="1:4" x14ac:dyDescent="0.25">
      <c r="A400" s="21">
        <v>3.77</v>
      </c>
      <c r="B400" s="21"/>
      <c r="C400" s="21">
        <f t="shared" si="8"/>
        <v>3.1548195411021838</v>
      </c>
      <c r="D400" s="21"/>
    </row>
    <row r="401" spans="1:4" x14ac:dyDescent="0.25">
      <c r="A401" s="21">
        <v>3.78</v>
      </c>
      <c r="B401" s="21"/>
      <c r="C401" s="21">
        <f t="shared" si="8"/>
        <v>3.1530614280734075</v>
      </c>
      <c r="D401" s="21"/>
    </row>
    <row r="402" spans="1:4" x14ac:dyDescent="0.25">
      <c r="A402" s="21">
        <v>3.79</v>
      </c>
      <c r="B402" s="21"/>
      <c r="C402" s="21">
        <f t="shared" si="8"/>
        <v>3.1513033150446312</v>
      </c>
      <c r="D402" s="21"/>
    </row>
    <row r="403" spans="1:4" x14ac:dyDescent="0.25">
      <c r="A403" s="21">
        <v>3.8</v>
      </c>
      <c r="B403" s="21"/>
      <c r="C403" s="21">
        <f t="shared" si="8"/>
        <v>3.149545202015855</v>
      </c>
      <c r="D403" s="21"/>
    </row>
    <row r="404" spans="1:4" x14ac:dyDescent="0.25">
      <c r="A404" s="21">
        <v>3.81</v>
      </c>
      <c r="B404" s="21"/>
      <c r="C404" s="21">
        <f t="shared" si="8"/>
        <v>3.1477870889870787</v>
      </c>
      <c r="D404" s="21"/>
    </row>
    <row r="405" spans="1:4" x14ac:dyDescent="0.25">
      <c r="A405" s="21">
        <v>3.82</v>
      </c>
      <c r="B405" s="21"/>
      <c r="C405" s="21">
        <f t="shared" si="8"/>
        <v>3.1460289759583024</v>
      </c>
      <c r="D405" s="21"/>
    </row>
    <row r="406" spans="1:4" x14ac:dyDescent="0.25">
      <c r="A406" s="21">
        <v>3.83</v>
      </c>
      <c r="B406" s="21"/>
      <c r="C406" s="21">
        <f t="shared" si="8"/>
        <v>3.1442708629295262</v>
      </c>
      <c r="D406" s="21"/>
    </row>
    <row r="407" spans="1:4" x14ac:dyDescent="0.25">
      <c r="A407" s="21">
        <v>3.84</v>
      </c>
      <c r="B407" s="21"/>
      <c r="C407" s="21">
        <f t="shared" si="8"/>
        <v>3.1425127499007499</v>
      </c>
      <c r="D407" s="21"/>
    </row>
    <row r="408" spans="1:4" x14ac:dyDescent="0.25">
      <c r="A408" s="21">
        <v>3.85</v>
      </c>
      <c r="B408" s="21"/>
      <c r="C408" s="21">
        <f t="shared" si="8"/>
        <v>3.1407546368719736</v>
      </c>
      <c r="D408" s="21"/>
    </row>
    <row r="409" spans="1:4" x14ac:dyDescent="0.25">
      <c r="A409" s="21">
        <v>3.86</v>
      </c>
      <c r="B409" s="21"/>
      <c r="C409" s="21">
        <f t="shared" si="8"/>
        <v>3.1389965238431974</v>
      </c>
      <c r="D409" s="21"/>
    </row>
    <row r="410" spans="1:4" x14ac:dyDescent="0.25">
      <c r="A410" s="21">
        <v>3.87</v>
      </c>
      <c r="B410" s="21"/>
      <c r="C410" s="21">
        <f t="shared" ref="C410:C423" si="9">$G$5+LOG10($G$2*EXP(-$G$3*A410)+(1-$G$2)*EXP(-$G$4*A410))</f>
        <v>3.1372384108144211</v>
      </c>
      <c r="D410" s="21"/>
    </row>
    <row r="411" spans="1:4" x14ac:dyDescent="0.25">
      <c r="A411" s="21">
        <v>3.88</v>
      </c>
      <c r="B411" s="21"/>
      <c r="C411" s="21">
        <f t="shared" si="9"/>
        <v>3.1354802977856449</v>
      </c>
      <c r="D411" s="21"/>
    </row>
    <row r="412" spans="1:4" x14ac:dyDescent="0.25">
      <c r="A412" s="21">
        <v>3.89</v>
      </c>
      <c r="B412" s="21"/>
      <c r="C412" s="21">
        <f t="shared" si="9"/>
        <v>3.1337221847568686</v>
      </c>
      <c r="D412" s="21"/>
    </row>
    <row r="413" spans="1:4" x14ac:dyDescent="0.25">
      <c r="A413" s="21">
        <v>3.9</v>
      </c>
      <c r="B413" s="21"/>
      <c r="C413" s="21">
        <f t="shared" si="9"/>
        <v>3.1319640717280928</v>
      </c>
      <c r="D413" s="21"/>
    </row>
    <row r="414" spans="1:4" x14ac:dyDescent="0.25">
      <c r="A414" s="21">
        <v>3.91</v>
      </c>
      <c r="B414" s="21"/>
      <c r="C414" s="21">
        <f t="shared" si="9"/>
        <v>3.1302059586993161</v>
      </c>
      <c r="D414" s="21"/>
    </row>
    <row r="415" spans="1:4" x14ac:dyDescent="0.25">
      <c r="A415" s="21">
        <v>3.92</v>
      </c>
      <c r="B415" s="21"/>
      <c r="C415" s="21">
        <f t="shared" si="9"/>
        <v>3.1284478456705398</v>
      </c>
      <c r="D415" s="21"/>
    </row>
    <row r="416" spans="1:4" x14ac:dyDescent="0.25">
      <c r="A416" s="21">
        <v>3.93</v>
      </c>
      <c r="B416" s="21"/>
      <c r="C416" s="21">
        <f t="shared" si="9"/>
        <v>3.1266897326417635</v>
      </c>
      <c r="D416" s="21"/>
    </row>
    <row r="417" spans="1:4" x14ac:dyDescent="0.25">
      <c r="A417" s="21">
        <v>3.94</v>
      </c>
      <c r="B417" s="21"/>
      <c r="C417" s="21">
        <f t="shared" si="9"/>
        <v>3.1249316196129877</v>
      </c>
      <c r="D417" s="21"/>
    </row>
    <row r="418" spans="1:4" x14ac:dyDescent="0.25">
      <c r="A418" s="21">
        <v>3.95</v>
      </c>
      <c r="B418" s="21"/>
      <c r="C418" s="21">
        <f t="shared" si="9"/>
        <v>3.1231735065842114</v>
      </c>
      <c r="D418" s="21"/>
    </row>
    <row r="419" spans="1:4" x14ac:dyDescent="0.25">
      <c r="A419" s="21">
        <v>3.96</v>
      </c>
      <c r="B419" s="21"/>
      <c r="C419" s="21">
        <f t="shared" si="9"/>
        <v>3.1214153935554352</v>
      </c>
      <c r="D419" s="21"/>
    </row>
    <row r="420" spans="1:4" x14ac:dyDescent="0.25">
      <c r="A420" s="21">
        <v>3.97</v>
      </c>
      <c r="B420" s="21"/>
      <c r="C420" s="21">
        <f t="shared" si="9"/>
        <v>3.1196572805266589</v>
      </c>
      <c r="D420" s="21"/>
    </row>
    <row r="421" spans="1:4" x14ac:dyDescent="0.25">
      <c r="A421" s="21">
        <v>3.98</v>
      </c>
      <c r="B421" s="21"/>
      <c r="C421" s="21">
        <f t="shared" si="9"/>
        <v>3.1178991674978827</v>
      </c>
      <c r="D421" s="21"/>
    </row>
    <row r="422" spans="1:4" x14ac:dyDescent="0.25">
      <c r="A422" s="21">
        <v>3.99</v>
      </c>
      <c r="B422" s="21"/>
      <c r="C422" s="21">
        <f t="shared" si="9"/>
        <v>3.1161410544691064</v>
      </c>
      <c r="D422" s="21"/>
    </row>
    <row r="423" spans="1:4" x14ac:dyDescent="0.25">
      <c r="A423" s="21">
        <v>4</v>
      </c>
      <c r="B423" s="21"/>
      <c r="C423" s="21">
        <f t="shared" si="9"/>
        <v>3.1143829414403301</v>
      </c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>
      <selection activeCell="F19" sqref="A1:F19"/>
    </sheetView>
  </sheetViews>
  <sheetFormatPr defaultRowHeight="15" x14ac:dyDescent="0.25"/>
  <cols>
    <col min="1" max="1" width="10.42578125" style="17" bestFit="1" customWidth="1"/>
    <col min="2" max="2" width="10.5703125" style="17" bestFit="1" customWidth="1"/>
    <col min="3" max="3" width="11.28515625" style="17" bestFit="1" customWidth="1"/>
    <col min="4" max="4" width="13.7109375" style="17" bestFit="1" customWidth="1"/>
    <col min="5" max="6" width="9.140625" style="17"/>
    <col min="7" max="16384" width="9.140625" style="1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15" x14ac:dyDescent="0.25">
      <c r="A2" s="17">
        <v>13136</v>
      </c>
      <c r="B2" s="17" t="s">
        <v>4</v>
      </c>
      <c r="C2" s="17" t="s">
        <v>41</v>
      </c>
      <c r="D2" s="17" t="s">
        <v>40</v>
      </c>
      <c r="E2" s="11">
        <v>0</v>
      </c>
      <c r="F2" s="21">
        <f>LOG10(2*10^5)</f>
        <v>5.3010299956639813</v>
      </c>
      <c r="I2" s="23"/>
      <c r="J2" s="23"/>
      <c r="O2" s="23"/>
    </row>
    <row r="3" spans="1:15" x14ac:dyDescent="0.25">
      <c r="A3" s="17">
        <v>13136</v>
      </c>
      <c r="B3" s="17" t="s">
        <v>4</v>
      </c>
      <c r="C3" s="17" t="s">
        <v>41</v>
      </c>
      <c r="D3" s="17" t="s">
        <v>40</v>
      </c>
      <c r="E3" s="11">
        <v>0.5</v>
      </c>
      <c r="F3" s="21">
        <f>LOG10(6.3*10^3)</f>
        <v>3.7993405494535817</v>
      </c>
      <c r="I3" s="23"/>
      <c r="J3" s="23"/>
      <c r="O3" s="23"/>
    </row>
    <row r="4" spans="1:15" x14ac:dyDescent="0.25">
      <c r="A4" s="17">
        <v>13136</v>
      </c>
      <c r="B4" s="17" t="s">
        <v>4</v>
      </c>
      <c r="C4" s="17" t="s">
        <v>41</v>
      </c>
      <c r="D4" s="17" t="s">
        <v>40</v>
      </c>
      <c r="E4" s="11">
        <v>1</v>
      </c>
      <c r="F4" s="21">
        <f>LOG10(2*10^3)</f>
        <v>3.3010299956639813</v>
      </c>
      <c r="I4" s="23"/>
      <c r="J4" s="23"/>
      <c r="O4" s="23"/>
    </row>
    <row r="5" spans="1:15" x14ac:dyDescent="0.25">
      <c r="A5" s="17">
        <v>13136</v>
      </c>
      <c r="B5" s="17" t="s">
        <v>4</v>
      </c>
      <c r="C5" s="17" t="s">
        <v>41</v>
      </c>
      <c r="D5" s="17" t="s">
        <v>40</v>
      </c>
      <c r="E5" s="11">
        <v>2</v>
      </c>
      <c r="F5" s="21">
        <f>LOG10(2.27*10^3)</f>
        <v>3.3560258571931225</v>
      </c>
      <c r="I5" s="23"/>
      <c r="J5" s="23"/>
      <c r="O5" s="23"/>
    </row>
    <row r="6" spans="1:15" x14ac:dyDescent="0.25">
      <c r="A6" s="17">
        <v>13136</v>
      </c>
      <c r="B6" s="17" t="s">
        <v>4</v>
      </c>
      <c r="C6" s="17" t="s">
        <v>41</v>
      </c>
      <c r="D6" s="17" t="s">
        <v>40</v>
      </c>
      <c r="E6" s="11">
        <v>3</v>
      </c>
      <c r="F6" s="21">
        <f>LOG10(4.5*10^3)</f>
        <v>3.6532125137753435</v>
      </c>
      <c r="I6" s="23"/>
      <c r="J6" s="23"/>
    </row>
    <row r="7" spans="1:15" x14ac:dyDescent="0.25">
      <c r="A7" s="17">
        <v>13136</v>
      </c>
      <c r="B7" s="17" t="s">
        <v>4</v>
      </c>
      <c r="C7" s="17" t="s">
        <v>41</v>
      </c>
      <c r="D7" s="17" t="s">
        <v>40</v>
      </c>
      <c r="E7" s="11">
        <v>4</v>
      </c>
      <c r="F7" s="21">
        <f>LOG10(4.5*10^3)</f>
        <v>3.6532125137753435</v>
      </c>
    </row>
    <row r="8" spans="1:15" x14ac:dyDescent="0.25">
      <c r="A8" s="17">
        <v>13136</v>
      </c>
      <c r="B8" s="17" t="s">
        <v>5</v>
      </c>
      <c r="C8" s="17" t="s">
        <v>41</v>
      </c>
      <c r="D8" s="17" t="s">
        <v>40</v>
      </c>
      <c r="E8" s="11">
        <v>0</v>
      </c>
      <c r="F8" s="21">
        <f>LOG10(4*10^5)</f>
        <v>5.6020599913279625</v>
      </c>
    </row>
    <row r="9" spans="1:15" x14ac:dyDescent="0.25">
      <c r="A9" s="17">
        <v>13136</v>
      </c>
      <c r="B9" s="17" t="s">
        <v>5</v>
      </c>
      <c r="C9" s="17" t="s">
        <v>41</v>
      </c>
      <c r="D9" s="17" t="s">
        <v>40</v>
      </c>
      <c r="E9" s="11">
        <v>0.5</v>
      </c>
      <c r="F9" s="21">
        <f>LOG10(5*10^3)</f>
        <v>3.6989700043360187</v>
      </c>
    </row>
    <row r="10" spans="1:15" x14ac:dyDescent="0.25">
      <c r="A10" s="17">
        <v>13136</v>
      </c>
      <c r="B10" s="17" t="s">
        <v>5</v>
      </c>
      <c r="C10" s="17" t="s">
        <v>41</v>
      </c>
      <c r="D10" s="17" t="s">
        <v>40</v>
      </c>
      <c r="E10" s="11">
        <v>1</v>
      </c>
      <c r="F10" s="21">
        <f>LOG10(1.07*10^4)</f>
        <v>4.0293837776852097</v>
      </c>
    </row>
    <row r="11" spans="1:15" x14ac:dyDescent="0.25">
      <c r="A11" s="17">
        <v>13136</v>
      </c>
      <c r="B11" s="17" t="s">
        <v>5</v>
      </c>
      <c r="C11" s="17" t="s">
        <v>41</v>
      </c>
      <c r="D11" s="17" t="s">
        <v>40</v>
      </c>
      <c r="E11" s="11">
        <v>2</v>
      </c>
      <c r="F11" s="21">
        <f>LOG10(4.7*10^3)</f>
        <v>3.6720978579357175</v>
      </c>
    </row>
    <row r="12" spans="1:15" x14ac:dyDescent="0.25">
      <c r="A12" s="17">
        <v>13136</v>
      </c>
      <c r="B12" s="17" t="s">
        <v>5</v>
      </c>
      <c r="C12" s="17" t="s">
        <v>41</v>
      </c>
      <c r="D12" s="17" t="s">
        <v>40</v>
      </c>
      <c r="E12" s="11">
        <v>3</v>
      </c>
      <c r="F12" s="21">
        <f>LOG10(3.35*10^3)</f>
        <v>3.5250448070368452</v>
      </c>
    </row>
    <row r="13" spans="1:15" x14ac:dyDescent="0.25">
      <c r="A13" s="17">
        <v>13136</v>
      </c>
      <c r="B13" s="17" t="s">
        <v>5</v>
      </c>
      <c r="C13" s="17" t="s">
        <v>41</v>
      </c>
      <c r="D13" s="17" t="s">
        <v>40</v>
      </c>
      <c r="E13" s="11">
        <v>4</v>
      </c>
      <c r="F13" s="21">
        <f>LOG10(6.15*10^2)</f>
        <v>2.7888751157754168</v>
      </c>
    </row>
    <row r="14" spans="1:15" x14ac:dyDescent="0.25">
      <c r="A14" s="17">
        <v>13136</v>
      </c>
      <c r="B14" s="17" t="s">
        <v>6</v>
      </c>
      <c r="C14" s="17" t="s">
        <v>41</v>
      </c>
      <c r="D14" s="17" t="s">
        <v>40</v>
      </c>
      <c r="E14" s="11">
        <v>0</v>
      </c>
      <c r="F14" s="21">
        <f>LOG10(2.7*10^5)</f>
        <v>5.4313637641589869</v>
      </c>
    </row>
    <row r="15" spans="1:15" x14ac:dyDescent="0.25">
      <c r="A15" s="17">
        <v>13136</v>
      </c>
      <c r="B15" s="17" t="s">
        <v>6</v>
      </c>
      <c r="C15" s="17" t="s">
        <v>41</v>
      </c>
      <c r="D15" s="17" t="s">
        <v>40</v>
      </c>
      <c r="E15" s="11">
        <v>0.5</v>
      </c>
      <c r="F15" s="21">
        <f>LOG10(6.7*10^3)</f>
        <v>3.8260748027008264</v>
      </c>
    </row>
    <row r="16" spans="1:15" x14ac:dyDescent="0.25">
      <c r="A16" s="17">
        <v>13136</v>
      </c>
      <c r="B16" s="17" t="s">
        <v>6</v>
      </c>
      <c r="C16" s="17" t="s">
        <v>41</v>
      </c>
      <c r="D16" s="17" t="s">
        <v>40</v>
      </c>
      <c r="E16" s="11">
        <v>1</v>
      </c>
      <c r="F16" s="21">
        <f>LOG10(3.7*10^3)</f>
        <v>3.568201724066995</v>
      </c>
    </row>
    <row r="17" spans="1:6" x14ac:dyDescent="0.25">
      <c r="A17" s="17">
        <v>13136</v>
      </c>
      <c r="B17" s="17" t="s">
        <v>6</v>
      </c>
      <c r="C17" s="17" t="s">
        <v>41</v>
      </c>
      <c r="D17" s="17" t="s">
        <v>40</v>
      </c>
      <c r="E17" s="11">
        <v>2</v>
      </c>
      <c r="F17" s="21">
        <f>LOG10(2*10^3)</f>
        <v>3.3010299956639813</v>
      </c>
    </row>
    <row r="18" spans="1:6" x14ac:dyDescent="0.25">
      <c r="A18" s="17">
        <v>13136</v>
      </c>
      <c r="B18" s="17" t="s">
        <v>6</v>
      </c>
      <c r="C18" s="17" t="s">
        <v>41</v>
      </c>
      <c r="D18" s="17" t="s">
        <v>40</v>
      </c>
      <c r="E18" s="11">
        <v>3</v>
      </c>
      <c r="F18" s="21">
        <f>LOG10(8.15*10^2)</f>
        <v>2.9111576087399764</v>
      </c>
    </row>
    <row r="19" spans="1:6" x14ac:dyDescent="0.25">
      <c r="A19" s="17">
        <v>13136</v>
      </c>
      <c r="B19" s="17" t="s">
        <v>6</v>
      </c>
      <c r="C19" s="17" t="s">
        <v>41</v>
      </c>
      <c r="D19" s="17" t="s">
        <v>40</v>
      </c>
      <c r="E19" s="11">
        <v>4</v>
      </c>
      <c r="F19" s="21">
        <f>LOG10(6*10^2)</f>
        <v>2.7781512503836434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0"/>
  <sheetViews>
    <sheetView zoomScale="80" zoomScaleNormal="80" workbookViewId="0">
      <selection activeCell="G40" sqref="G40"/>
    </sheetView>
  </sheetViews>
  <sheetFormatPr defaultRowHeight="15" x14ac:dyDescent="0.25"/>
  <cols>
    <col min="1" max="1" width="9.140625" style="17"/>
    <col min="2" max="2" width="10.42578125" style="17" customWidth="1"/>
    <col min="3" max="3" width="9.5703125" style="17" customWidth="1"/>
    <col min="4" max="4" width="9.140625" style="17"/>
    <col min="5" max="5" width="9.140625" style="1"/>
    <col min="6" max="6" width="12.5703125" style="1" bestFit="1" customWidth="1"/>
    <col min="7" max="16384" width="9.140625" style="1"/>
  </cols>
  <sheetData>
    <row r="1" spans="1:43" ht="24" customHeight="1" x14ac:dyDescent="0.25">
      <c r="A1" s="8" t="s">
        <v>0</v>
      </c>
      <c r="B1" s="9" t="s">
        <v>7</v>
      </c>
      <c r="C1" s="9" t="s">
        <v>8</v>
      </c>
      <c r="D1" s="8" t="s">
        <v>9</v>
      </c>
      <c r="E1" s="10"/>
      <c r="F1" s="8" t="s">
        <v>11</v>
      </c>
      <c r="G1" s="8" t="s">
        <v>12</v>
      </c>
      <c r="H1" s="8" t="s">
        <v>19</v>
      </c>
      <c r="I1" s="10"/>
      <c r="J1" s="10"/>
      <c r="K1" s="10"/>
      <c r="L1" s="10"/>
      <c r="M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x14ac:dyDescent="0.25">
      <c r="A2" s="10">
        <v>0</v>
      </c>
      <c r="B2" s="10">
        <v>5.4313637641589869</v>
      </c>
      <c r="C2" s="10">
        <f t="shared" ref="C2:C19" si="0">$G$5+LOG10($G$2*EXP(-$G$3*A2)+(1-$G$2)*EXP(-$G$4*A2))</f>
        <v>5.2227718592636068</v>
      </c>
      <c r="D2" s="10">
        <f t="shared" ref="D2:D19" si="1" xml:space="preserve"> (B2 - C2)^2</f>
        <v>4.351058278788332E-2</v>
      </c>
      <c r="E2" s="10"/>
      <c r="F2" s="10" t="s">
        <v>15</v>
      </c>
      <c r="G2" s="25">
        <v>0.96182145451491075</v>
      </c>
      <c r="H2" s="25">
        <v>2.7947001557826909E-2</v>
      </c>
      <c r="I2" s="10"/>
      <c r="J2" s="10"/>
      <c r="K2" s="10"/>
      <c r="L2" s="12" t="s">
        <v>20</v>
      </c>
      <c r="M2" s="25">
        <v>0.10331800246690474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x14ac:dyDescent="0.25">
      <c r="A3" s="10">
        <v>0.5</v>
      </c>
      <c r="B3" s="10">
        <v>4.6020599913279625</v>
      </c>
      <c r="C3" s="10">
        <f t="shared" si="0"/>
        <v>4.122512759404918</v>
      </c>
      <c r="D3" s="10">
        <f t="shared" si="1"/>
        <v>0.22996554764505422</v>
      </c>
      <c r="E3" s="10"/>
      <c r="F3" s="10" t="s">
        <v>16</v>
      </c>
      <c r="G3" s="25">
        <v>6.007368596314727</v>
      </c>
      <c r="H3" s="25">
        <v>1.8920236658974898</v>
      </c>
      <c r="I3" s="10"/>
      <c r="J3" s="10"/>
      <c r="K3" s="10"/>
      <c r="L3" s="12" t="s">
        <v>23</v>
      </c>
      <c r="M3" s="25">
        <f>SQRT(M2)</f>
        <v>0.32143117843000973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x14ac:dyDescent="0.25">
      <c r="A4" s="10">
        <v>1</v>
      </c>
      <c r="B4" s="10">
        <v>3.8450980400142569</v>
      </c>
      <c r="C4" s="10">
        <f t="shared" si="0"/>
        <v>3.6798416611627416</v>
      </c>
      <c r="D4" s="10">
        <f t="shared" si="1"/>
        <v>2.7309670751115567E-2</v>
      </c>
      <c r="E4" s="10"/>
      <c r="F4" s="10" t="s">
        <v>17</v>
      </c>
      <c r="G4" s="25">
        <v>0.37347429790557513</v>
      </c>
      <c r="H4" s="25">
        <v>0.21665399544955452</v>
      </c>
      <c r="I4" s="10"/>
      <c r="J4" s="10"/>
      <c r="K4" s="10"/>
      <c r="L4" s="12" t="s">
        <v>21</v>
      </c>
      <c r="M4" s="25">
        <v>0.85705477017408171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x14ac:dyDescent="0.25">
      <c r="A5" s="10">
        <v>2</v>
      </c>
      <c r="B5" s="10">
        <v>3.9684829485539352</v>
      </c>
      <c r="C5" s="10">
        <f t="shared" si="0"/>
        <v>3.4803353665359991</v>
      </c>
      <c r="D5" s="10">
        <f t="shared" si="1"/>
        <v>0.23828806182995774</v>
      </c>
      <c r="E5" s="10"/>
      <c r="F5" s="10" t="s">
        <v>14</v>
      </c>
      <c r="G5" s="25">
        <v>5.2227718592636068</v>
      </c>
      <c r="H5" s="25">
        <v>0.18531510982897745</v>
      </c>
      <c r="I5" s="10"/>
      <c r="J5" s="10"/>
      <c r="K5" s="10"/>
      <c r="L5" s="12" t="s">
        <v>22</v>
      </c>
      <c r="M5" s="25">
        <v>0.82642364949709923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x14ac:dyDescent="0.25">
      <c r="A6" s="10">
        <v>3</v>
      </c>
      <c r="B6" s="10">
        <v>3.4548448600085102</v>
      </c>
      <c r="C6" s="10">
        <f t="shared" si="0"/>
        <v>3.3179982576232483</v>
      </c>
      <c r="D6" s="10">
        <f t="shared" si="1"/>
        <v>1.8726992584389972E-2</v>
      </c>
      <c r="E6" s="10"/>
      <c r="F6" s="10"/>
      <c r="G6" s="25"/>
      <c r="H6" s="25"/>
      <c r="I6" s="10"/>
      <c r="J6" s="10"/>
      <c r="K6" s="10"/>
      <c r="L6" s="13"/>
      <c r="M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x14ac:dyDescent="0.25">
      <c r="A7" s="10">
        <v>4</v>
      </c>
      <c r="B7" s="10">
        <v>3.2671717284030137</v>
      </c>
      <c r="C7" s="10">
        <f t="shared" si="0"/>
        <v>3.1557999329480499</v>
      </c>
      <c r="D7" s="10">
        <f t="shared" si="1"/>
        <v>1.2403676822862291E-2</v>
      </c>
      <c r="E7" s="10"/>
      <c r="F7" s="8" t="s">
        <v>24</v>
      </c>
      <c r="G7" s="10"/>
      <c r="H7" s="14"/>
      <c r="I7" s="10"/>
      <c r="J7" s="10"/>
      <c r="K7" s="10"/>
      <c r="L7" s="13"/>
      <c r="M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x14ac:dyDescent="0.25">
      <c r="A8" s="10">
        <v>0</v>
      </c>
      <c r="B8" s="10">
        <v>5.2787536009528289</v>
      </c>
      <c r="C8" s="10">
        <f t="shared" si="0"/>
        <v>5.2227718592636068</v>
      </c>
      <c r="D8" s="10">
        <f t="shared" si="1"/>
        <v>3.1339554025587874E-3</v>
      </c>
      <c r="E8" s="10"/>
      <c r="F8" s="10" t="s">
        <v>28</v>
      </c>
      <c r="G8" s="10"/>
      <c r="H8" s="10"/>
      <c r="I8" s="10"/>
      <c r="J8" s="10"/>
      <c r="K8" s="10"/>
      <c r="L8" s="13"/>
      <c r="M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A9" s="10">
        <v>0.5</v>
      </c>
      <c r="B9" s="10">
        <v>3.9542425094393248</v>
      </c>
      <c r="C9" s="10">
        <f t="shared" si="0"/>
        <v>4.122512759404918</v>
      </c>
      <c r="D9" s="10">
        <f t="shared" si="1"/>
        <v>2.8314877023483238E-2</v>
      </c>
      <c r="E9" s="10"/>
      <c r="F9" s="8" t="s">
        <v>25</v>
      </c>
      <c r="G9" s="10"/>
      <c r="H9" s="10"/>
      <c r="I9" s="10"/>
      <c r="J9" s="10"/>
      <c r="K9" s="10"/>
      <c r="L9" s="13"/>
      <c r="M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x14ac:dyDescent="0.25">
      <c r="A10" s="10">
        <v>1</v>
      </c>
      <c r="B10" s="10">
        <v>3.9542425094393248</v>
      </c>
      <c r="C10" s="10">
        <f t="shared" si="0"/>
        <v>3.6798416611627416</v>
      </c>
      <c r="D10" s="10">
        <f t="shared" si="1"/>
        <v>7.529582553490842E-2</v>
      </c>
      <c r="E10" s="10"/>
      <c r="F10" s="10" t="s">
        <v>28</v>
      </c>
      <c r="G10" s="10"/>
      <c r="H10" s="10"/>
      <c r="I10" s="10"/>
      <c r="J10" s="10"/>
      <c r="K10" s="10"/>
      <c r="L10" s="13"/>
      <c r="M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x14ac:dyDescent="0.25">
      <c r="A11" s="10">
        <v>2</v>
      </c>
      <c r="B11" s="10">
        <v>3.5185139398778875</v>
      </c>
      <c r="C11" s="10">
        <f t="shared" si="0"/>
        <v>3.4803353665359991</v>
      </c>
      <c r="D11" s="10">
        <f t="shared" si="1"/>
        <v>1.4576034624219558E-3</v>
      </c>
      <c r="E11" s="10"/>
      <c r="F11" s="8" t="s">
        <v>26</v>
      </c>
      <c r="G11" s="10"/>
      <c r="H11" s="10"/>
      <c r="I11" s="10"/>
      <c r="J11" s="10"/>
      <c r="K11" s="10"/>
      <c r="L11" s="13"/>
      <c r="M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x14ac:dyDescent="0.25">
      <c r="A12" s="10">
        <v>3</v>
      </c>
      <c r="B12" s="10">
        <v>3.2174839442139063</v>
      </c>
      <c r="C12" s="10">
        <f t="shared" si="0"/>
        <v>3.3179982576232483</v>
      </c>
      <c r="D12" s="10">
        <f t="shared" si="1"/>
        <v>1.0103127200151434E-2</v>
      </c>
      <c r="E12" s="10"/>
      <c r="F12" s="33" t="s">
        <v>29</v>
      </c>
      <c r="G12" s="34"/>
      <c r="H12" s="34"/>
      <c r="I12" s="34"/>
      <c r="J12" s="34"/>
      <c r="K12" s="34"/>
      <c r="L12" s="34"/>
      <c r="M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x14ac:dyDescent="0.25">
      <c r="A13" s="10">
        <v>4</v>
      </c>
      <c r="B13" s="10">
        <v>3.1760912590556813</v>
      </c>
      <c r="C13" s="10">
        <f t="shared" si="0"/>
        <v>3.1557999329480499</v>
      </c>
      <c r="D13" s="10">
        <f t="shared" si="1"/>
        <v>4.1173791520624376E-4</v>
      </c>
      <c r="E13" s="10"/>
      <c r="F13" s="34"/>
      <c r="G13" s="34"/>
      <c r="H13" s="34"/>
      <c r="I13" s="34"/>
      <c r="J13" s="34"/>
      <c r="K13" s="34"/>
      <c r="L13" s="34"/>
      <c r="M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x14ac:dyDescent="0.25">
      <c r="A14" s="10">
        <v>0</v>
      </c>
      <c r="B14" s="10">
        <v>4.9684829485539348</v>
      </c>
      <c r="C14" s="10">
        <f t="shared" si="0"/>
        <v>5.2227718592636068</v>
      </c>
      <c r="D14" s="10">
        <f t="shared" si="1"/>
        <v>6.4662850109911518E-2</v>
      </c>
      <c r="E14" s="10"/>
      <c r="F14" s="34"/>
      <c r="G14" s="34"/>
      <c r="H14" s="34"/>
      <c r="I14" s="34"/>
      <c r="J14" s="34"/>
      <c r="K14" s="34"/>
      <c r="L14" s="34"/>
      <c r="M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x14ac:dyDescent="0.25">
      <c r="A15" s="10">
        <v>0.5</v>
      </c>
      <c r="B15" s="10">
        <v>3.7781512503836434</v>
      </c>
      <c r="C15" s="10">
        <f t="shared" si="0"/>
        <v>4.122512759404918</v>
      </c>
      <c r="D15" s="10">
        <f t="shared" si="1"/>
        <v>0.11858484889540939</v>
      </c>
      <c r="E15" s="11"/>
      <c r="F15" s="11"/>
      <c r="G15" s="11"/>
      <c r="H15" s="11"/>
      <c r="I15" s="11"/>
      <c r="J15" s="11"/>
      <c r="K15" s="11"/>
      <c r="L15" s="15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x14ac:dyDescent="0.25">
      <c r="A16" s="10">
        <v>1</v>
      </c>
      <c r="B16" s="10">
        <v>3.3617278360175931</v>
      </c>
      <c r="C16" s="10">
        <f t="shared" si="0"/>
        <v>3.6798416611627416</v>
      </c>
      <c r="D16" s="10">
        <f t="shared" si="1"/>
        <v>0.10119640574847813</v>
      </c>
      <c r="E16" s="11"/>
      <c r="F16" s="11"/>
      <c r="G16" s="11"/>
      <c r="H16" s="11"/>
      <c r="I16" s="11"/>
      <c r="J16" s="11"/>
      <c r="K16" s="11"/>
      <c r="L16" s="15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x14ac:dyDescent="0.25">
      <c r="A17" s="10">
        <v>2</v>
      </c>
      <c r="B17" s="10">
        <v>2.7993405494535817</v>
      </c>
      <c r="C17" s="10">
        <f t="shared" si="0"/>
        <v>3.4803353665359991</v>
      </c>
      <c r="D17" s="10">
        <f t="shared" si="1"/>
        <v>0.46375394089311511</v>
      </c>
      <c r="E17" s="11"/>
      <c r="F17" s="11"/>
      <c r="G17" s="11"/>
      <c r="H17" s="11"/>
      <c r="I17" s="11"/>
      <c r="J17" s="11"/>
      <c r="K17" s="11"/>
      <c r="L17" s="15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x14ac:dyDescent="0.25">
      <c r="A18" s="10">
        <v>3</v>
      </c>
      <c r="B18" s="10">
        <v>3.3010299956639813</v>
      </c>
      <c r="C18" s="10">
        <f t="shared" si="0"/>
        <v>3.3179982576232483</v>
      </c>
      <c r="D18" s="10">
        <f t="shared" si="1"/>
        <v>2.8792191391830888E-4</v>
      </c>
      <c r="E18" s="11"/>
      <c r="F18" s="11"/>
      <c r="G18" s="11"/>
      <c r="H18" s="11"/>
      <c r="I18" s="11"/>
      <c r="J18" s="11"/>
      <c r="K18" s="11"/>
      <c r="L18" s="15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x14ac:dyDescent="0.25">
      <c r="A19" s="10">
        <v>4</v>
      </c>
      <c r="B19" s="10">
        <v>3.0606978403536118</v>
      </c>
      <c r="C19" s="10">
        <f t="shared" si="0"/>
        <v>3.1557999329480499</v>
      </c>
      <c r="D19" s="10">
        <f t="shared" si="1"/>
        <v>9.0444080158410857E-3</v>
      </c>
      <c r="E19" s="11"/>
      <c r="F19" s="11"/>
      <c r="G19" s="11"/>
      <c r="H19" s="11"/>
      <c r="I19" s="11"/>
      <c r="J19" s="11"/>
      <c r="K19" s="11"/>
      <c r="L19" s="15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x14ac:dyDescent="0.25">
      <c r="A20" s="8" t="s">
        <v>10</v>
      </c>
      <c r="B20" s="10"/>
      <c r="C20" s="10"/>
      <c r="D20" s="10">
        <f>SUM(D2:D19)</f>
        <v>1.4464520345366665</v>
      </c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x14ac:dyDescent="0.25">
      <c r="A23" s="21">
        <v>0</v>
      </c>
      <c r="B23" s="21"/>
      <c r="C23" s="21">
        <f>$G$5+LOG10($G$2*EXP(-$G$3*A23)+(1-$G$2)*EXP(-$G$4*A23))</f>
        <v>5.2227718592636068</v>
      </c>
      <c r="D23" s="21"/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x14ac:dyDescent="0.25">
      <c r="A24" s="21">
        <v>0.04</v>
      </c>
      <c r="B24" s="21"/>
      <c r="C24" s="21">
        <f t="shared" ref="C24:C87" si="2">$G$5+LOG10($G$2*EXP(-$G$3*A24)+(1-$G$2)*EXP(-$G$4*A24))</f>
        <v>5.1225841684372151</v>
      </c>
      <c r="D24" s="21"/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x14ac:dyDescent="0.25">
      <c r="A25" s="21">
        <v>0.08</v>
      </c>
      <c r="B25" s="21"/>
      <c r="C25" s="21">
        <f t="shared" si="2"/>
        <v>5.0233948721982067</v>
      </c>
      <c r="D25" s="21"/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x14ac:dyDescent="0.25">
      <c r="A26" s="21">
        <v>0.12</v>
      </c>
      <c r="B26" s="21"/>
      <c r="C26" s="21">
        <f t="shared" si="2"/>
        <v>4.9254265961789496</v>
      </c>
      <c r="D26" s="21"/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x14ac:dyDescent="0.25">
      <c r="A27" s="21">
        <v>0.16</v>
      </c>
      <c r="B27" s="21"/>
      <c r="C27" s="21">
        <f t="shared" si="2"/>
        <v>4.8289431641757385</v>
      </c>
      <c r="D27" s="21"/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x14ac:dyDescent="0.25">
      <c r="A28" s="21">
        <v>0.2</v>
      </c>
      <c r="B28" s="21"/>
      <c r="C28" s="21">
        <f t="shared" si="2"/>
        <v>4.7342530067448632</v>
      </c>
      <c r="D28" s="21"/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x14ac:dyDescent="0.25">
      <c r="A29" s="21">
        <v>0.24000000000000002</v>
      </c>
      <c r="B29" s="21"/>
      <c r="C29" s="21">
        <f t="shared" si="2"/>
        <v>4.6417106950764424</v>
      </c>
      <c r="D29" s="21"/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x14ac:dyDescent="0.25">
      <c r="A30" s="21">
        <v>0.28000000000000003</v>
      </c>
      <c r="B30" s="21"/>
      <c r="C30" s="21">
        <f t="shared" si="2"/>
        <v>4.5517154560260202</v>
      </c>
      <c r="D30" s="21"/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x14ac:dyDescent="0.25">
      <c r="A31" s="21">
        <v>0.32</v>
      </c>
      <c r="B31" s="21"/>
      <c r="C31" s="21">
        <f t="shared" si="2"/>
        <v>4.4647053654742042</v>
      </c>
      <c r="D31" s="21"/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x14ac:dyDescent="0.25">
      <c r="A32" s="21">
        <v>0.36</v>
      </c>
      <c r="B32" s="21"/>
      <c r="C32" s="21">
        <f t="shared" si="2"/>
        <v>4.3811459690660968</v>
      </c>
      <c r="D32" s="21"/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x14ac:dyDescent="0.25">
      <c r="A33" s="21">
        <v>0.39999999999999997</v>
      </c>
      <c r="B33" s="21"/>
      <c r="C33" s="21">
        <f t="shared" si="2"/>
        <v>4.3015124860926797</v>
      </c>
      <c r="D33" s="21"/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x14ac:dyDescent="0.25">
      <c r="A34" s="21">
        <v>0.43999999999999995</v>
      </c>
      <c r="B34" s="21"/>
      <c r="C34" s="21">
        <f t="shared" si="2"/>
        <v>4.2262656266950298</v>
      </c>
      <c r="D34" s="2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x14ac:dyDescent="0.25">
      <c r="A35" s="21">
        <v>0.47999999999999993</v>
      </c>
      <c r="B35" s="21"/>
      <c r="C35" s="21">
        <f t="shared" si="2"/>
        <v>4.1558223871059603</v>
      </c>
      <c r="D35" s="2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x14ac:dyDescent="0.25">
      <c r="A36" s="21">
        <v>0.51999999999999991</v>
      </c>
      <c r="B36" s="21"/>
      <c r="C36" s="21">
        <f t="shared" si="2"/>
        <v>4.090524761328231</v>
      </c>
      <c r="D36" s="2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x14ac:dyDescent="0.25">
      <c r="A37" s="21">
        <v>0.55999999999999994</v>
      </c>
      <c r="B37" s="21"/>
      <c r="C37" s="21">
        <f t="shared" si="2"/>
        <v>4.0306106595098683</v>
      </c>
      <c r="D37" s="21"/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x14ac:dyDescent="0.25">
      <c r="A38" s="21">
        <v>0.6</v>
      </c>
      <c r="B38" s="21"/>
      <c r="C38" s="21">
        <f t="shared" si="2"/>
        <v>3.9761918683585495</v>
      </c>
      <c r="D38" s="2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x14ac:dyDescent="0.25">
      <c r="A39" s="21">
        <v>0.64</v>
      </c>
      <c r="B39" s="21"/>
      <c r="C39" s="21">
        <f t="shared" si="2"/>
        <v>3.9272431847602234</v>
      </c>
      <c r="D39" s="2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x14ac:dyDescent="0.25">
      <c r="A40" s="21">
        <v>0.68</v>
      </c>
      <c r="B40" s="21"/>
      <c r="C40" s="21">
        <f t="shared" si="2"/>
        <v>3.8836048941401904</v>
      </c>
      <c r="D40" s="2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x14ac:dyDescent="0.25">
      <c r="A41" s="21">
        <v>0.72000000000000008</v>
      </c>
      <c r="B41" s="21"/>
      <c r="C41" s="21">
        <f t="shared" si="2"/>
        <v>3.8449980907792769</v>
      </c>
      <c r="D41" s="2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x14ac:dyDescent="0.25">
      <c r="A42" s="21">
        <v>0.76000000000000012</v>
      </c>
      <c r="B42" s="21"/>
      <c r="C42" s="21">
        <f t="shared" si="2"/>
        <v>3.8110498314849917</v>
      </c>
      <c r="D42" s="2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x14ac:dyDescent="0.25">
      <c r="A43" s="21">
        <v>0.80000000000000016</v>
      </c>
      <c r="B43" s="21"/>
      <c r="C43" s="21">
        <f t="shared" si="2"/>
        <v>3.7813235774846152</v>
      </c>
      <c r="D43" s="2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x14ac:dyDescent="0.25">
      <c r="A44" s="21">
        <v>0.84000000000000019</v>
      </c>
      <c r="B44" s="21"/>
      <c r="C44" s="21">
        <f t="shared" si="2"/>
        <v>3.7553501598692964</v>
      </c>
      <c r="D44" s="2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x14ac:dyDescent="0.25">
      <c r="A45" s="21">
        <v>0.88000000000000023</v>
      </c>
      <c r="B45" s="21"/>
      <c r="C45" s="21">
        <f t="shared" si="2"/>
        <v>3.73265540900235</v>
      </c>
      <c r="D45" s="2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x14ac:dyDescent="0.25">
      <c r="A46" s="21">
        <v>0.92000000000000026</v>
      </c>
      <c r="B46" s="21"/>
      <c r="C46" s="21">
        <f t="shared" si="2"/>
        <v>3.712782086773454</v>
      </c>
      <c r="D46" s="2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x14ac:dyDescent="0.25">
      <c r="A47" s="21">
        <v>0.9600000000000003</v>
      </c>
      <c r="B47" s="21"/>
      <c r="C47" s="21">
        <f t="shared" si="2"/>
        <v>3.6953052885596707</v>
      </c>
      <c r="D47" s="2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x14ac:dyDescent="0.25">
      <c r="A48" s="21">
        <v>1.0000000000000002</v>
      </c>
      <c r="B48" s="21"/>
      <c r="C48" s="21">
        <f t="shared" si="2"/>
        <v>3.6798416611627411</v>
      </c>
      <c r="D48" s="2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x14ac:dyDescent="0.25">
      <c r="A49" s="21">
        <v>1.0400000000000003</v>
      </c>
      <c r="B49" s="21"/>
      <c r="C49" s="21">
        <f t="shared" si="2"/>
        <v>3.6660534791249759</v>
      </c>
      <c r="D49" s="2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x14ac:dyDescent="0.25">
      <c r="A50" s="21">
        <v>1.0800000000000003</v>
      </c>
      <c r="B50" s="21"/>
      <c r="C50" s="21">
        <f t="shared" si="2"/>
        <v>3.6536488827533482</v>
      </c>
      <c r="D50" s="2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x14ac:dyDescent="0.25">
      <c r="A51" s="21">
        <v>1.1200000000000003</v>
      </c>
      <c r="B51" s="21"/>
      <c r="C51" s="21">
        <f t="shared" si="2"/>
        <v>3.6423795399576244</v>
      </c>
      <c r="D51" s="2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x14ac:dyDescent="0.25">
      <c r="A52" s="21">
        <v>1.1600000000000004</v>
      </c>
      <c r="B52" s="21"/>
      <c r="C52" s="21">
        <f t="shared" si="2"/>
        <v>3.6320367908574926</v>
      </c>
      <c r="D52" s="2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x14ac:dyDescent="0.25">
      <c r="A53" s="21">
        <v>1.2000000000000004</v>
      </c>
      <c r="B53" s="21"/>
      <c r="C53" s="21">
        <f t="shared" si="2"/>
        <v>3.6224470765669707</v>
      </c>
      <c r="D53" s="2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x14ac:dyDescent="0.25">
      <c r="A54" s="21">
        <v>1.2400000000000004</v>
      </c>
      <c r="B54" s="21"/>
      <c r="C54" s="21">
        <f t="shared" si="2"/>
        <v>3.6134672073222518</v>
      </c>
      <c r="D54" s="2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x14ac:dyDescent="0.25">
      <c r="A55" s="21">
        <v>1.2800000000000005</v>
      </c>
      <c r="B55" s="21"/>
      <c r="C55" s="21">
        <f t="shared" si="2"/>
        <v>3.6049798211840232</v>
      </c>
      <c r="D55" s="2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x14ac:dyDescent="0.25">
      <c r="A56" s="21">
        <v>1.3200000000000005</v>
      </c>
      <c r="B56" s="21"/>
      <c r="C56" s="21">
        <f t="shared" si="2"/>
        <v>3.596889231120457</v>
      </c>
      <c r="D56" s="2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x14ac:dyDescent="0.25">
      <c r="A57" s="21">
        <v>1.3600000000000005</v>
      </c>
      <c r="B57" s="21"/>
      <c r="C57" s="21">
        <f t="shared" si="2"/>
        <v>3.5891177513414356</v>
      </c>
      <c r="D57" s="2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x14ac:dyDescent="0.25">
      <c r="A58" s="21">
        <v>1.4000000000000006</v>
      </c>
      <c r="B58" s="21"/>
      <c r="C58" s="21">
        <f t="shared" si="2"/>
        <v>3.581602524350104</v>
      </c>
      <c r="D58" s="2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x14ac:dyDescent="0.25">
      <c r="A59" s="21">
        <v>1.4400000000000006</v>
      </c>
      <c r="B59" s="21"/>
      <c r="C59" s="21">
        <f t="shared" si="2"/>
        <v>3.5742928285887778</v>
      </c>
      <c r="D59" s="2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x14ac:dyDescent="0.25">
      <c r="A60" s="21">
        <v>1.4800000000000006</v>
      </c>
      <c r="B60" s="21"/>
      <c r="C60" s="21">
        <f t="shared" si="2"/>
        <v>3.5671478242723555</v>
      </c>
      <c r="D60" s="2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x14ac:dyDescent="0.25">
      <c r="A61" s="21">
        <v>1.5200000000000007</v>
      </c>
      <c r="B61" s="21"/>
      <c r="C61" s="21">
        <f t="shared" si="2"/>
        <v>3.5601346853594356</v>
      </c>
      <c r="D61" s="2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x14ac:dyDescent="0.25">
      <c r="A62" s="21">
        <v>1.5600000000000007</v>
      </c>
      <c r="B62" s="21"/>
      <c r="C62" s="21">
        <f t="shared" si="2"/>
        <v>3.5532270637601933</v>
      </c>
      <c r="D62" s="2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x14ac:dyDescent="0.25">
      <c r="A63" s="21">
        <v>1.6000000000000008</v>
      </c>
      <c r="B63" s="21"/>
      <c r="C63" s="21">
        <f t="shared" si="2"/>
        <v>3.5464038344832418</v>
      </c>
      <c r="D63" s="2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x14ac:dyDescent="0.25">
      <c r="A64" s="21">
        <v>1.6400000000000008</v>
      </c>
      <c r="B64" s="21"/>
      <c r="C64" s="21">
        <f t="shared" si="2"/>
        <v>3.5396480752922468</v>
      </c>
      <c r="D64" s="2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x14ac:dyDescent="0.25">
      <c r="A65" s="21">
        <v>1.6800000000000008</v>
      </c>
      <c r="B65" s="21"/>
      <c r="C65" s="21">
        <f t="shared" si="2"/>
        <v>3.5329462402081067</v>
      </c>
      <c r="D65" s="2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x14ac:dyDescent="0.25">
      <c r="A66" s="21">
        <v>1.7200000000000009</v>
      </c>
      <c r="B66" s="21"/>
      <c r="C66" s="21">
        <f t="shared" si="2"/>
        <v>3.5262874920444411</v>
      </c>
      <c r="D66" s="2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x14ac:dyDescent="0.25">
      <c r="A67" s="21">
        <v>1.7600000000000009</v>
      </c>
      <c r="B67" s="21"/>
      <c r="C67" s="21">
        <f t="shared" si="2"/>
        <v>3.5196631646594043</v>
      </c>
      <c r="D67" s="2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x14ac:dyDescent="0.25">
      <c r="A68" s="21">
        <v>1.8000000000000009</v>
      </c>
      <c r="B68" s="21"/>
      <c r="C68" s="21">
        <f t="shared" si="2"/>
        <v>3.513066330532804</v>
      </c>
      <c r="D68" s="2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x14ac:dyDescent="0.25">
      <c r="A69" s="21">
        <v>1.840000000000001</v>
      </c>
      <c r="B69" s="21"/>
      <c r="C69" s="21">
        <f t="shared" si="2"/>
        <v>3.5064914535606353</v>
      </c>
      <c r="D69" s="2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x14ac:dyDescent="0.25">
      <c r="A70" s="21">
        <v>1.880000000000001</v>
      </c>
      <c r="B70" s="21"/>
      <c r="C70" s="21">
        <f t="shared" si="2"/>
        <v>3.4999341106056412</v>
      </c>
      <c r="D70" s="2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x14ac:dyDescent="0.25">
      <c r="A71" s="21">
        <v>1.920000000000001</v>
      </c>
      <c r="B71" s="21"/>
      <c r="C71" s="21">
        <f t="shared" si="2"/>
        <v>3.4933907684001624</v>
      </c>
      <c r="D71" s="2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x14ac:dyDescent="0.25">
      <c r="A72" s="21">
        <v>1.9600000000000011</v>
      </c>
      <c r="B72" s="21"/>
      <c r="C72" s="21">
        <f t="shared" si="2"/>
        <v>3.486858604932924</v>
      </c>
      <c r="D72" s="2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x14ac:dyDescent="0.25">
      <c r="A73" s="21">
        <v>2.0000000000000009</v>
      </c>
      <c r="B73" s="21"/>
      <c r="C73" s="21">
        <f t="shared" si="2"/>
        <v>3.4803353665359991</v>
      </c>
      <c r="D73" s="2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x14ac:dyDescent="0.25">
      <c r="A74" s="21">
        <v>2.0400000000000009</v>
      </c>
      <c r="B74" s="21"/>
      <c r="C74" s="21">
        <f t="shared" si="2"/>
        <v>3.473819253591234</v>
      </c>
      <c r="D74" s="2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x14ac:dyDescent="0.25">
      <c r="A75" s="21">
        <v>2.080000000000001</v>
      </c>
      <c r="B75" s="21"/>
      <c r="C75" s="21">
        <f t="shared" si="2"/>
        <v>3.4673088291597782</v>
      </c>
      <c r="D75" s="2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x14ac:dyDescent="0.25">
      <c r="A76" s="21">
        <v>2.120000000000001</v>
      </c>
      <c r="B76" s="21"/>
      <c r="C76" s="21">
        <f t="shared" si="2"/>
        <v>3.4608029459594567</v>
      </c>
      <c r="D76" s="2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x14ac:dyDescent="0.25">
      <c r="A77" s="21">
        <v>2.160000000000001</v>
      </c>
      <c r="B77" s="21"/>
      <c r="C77" s="21">
        <f t="shared" si="2"/>
        <v>3.4543006880197833</v>
      </c>
      <c r="D77" s="2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x14ac:dyDescent="0.25">
      <c r="A78" s="21">
        <v>2.2000000000000011</v>
      </c>
      <c r="B78" s="21"/>
      <c r="C78" s="21">
        <f t="shared" si="2"/>
        <v>3.447801324073426</v>
      </c>
      <c r="D78" s="2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x14ac:dyDescent="0.25">
      <c r="A79" s="21">
        <v>2.2400000000000011</v>
      </c>
      <c r="B79" s="21"/>
      <c r="C79" s="21">
        <f t="shared" si="2"/>
        <v>3.4413042703290362</v>
      </c>
      <c r="D79" s="2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x14ac:dyDescent="0.25">
      <c r="A80" s="21">
        <v>2.2800000000000011</v>
      </c>
      <c r="B80" s="21"/>
      <c r="C80" s="21">
        <f t="shared" si="2"/>
        <v>3.4348090607408146</v>
      </c>
      <c r="D80" s="2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x14ac:dyDescent="0.25">
      <c r="A81" s="21">
        <v>2.3200000000000012</v>
      </c>
      <c r="B81" s="21"/>
      <c r="C81" s="21">
        <f t="shared" si="2"/>
        <v>3.4283153232674861</v>
      </c>
      <c r="D81" s="2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x14ac:dyDescent="0.25">
      <c r="A82" s="21">
        <v>2.3600000000000012</v>
      </c>
      <c r="B82" s="21"/>
      <c r="C82" s="21">
        <f t="shared" si="2"/>
        <v>3.4218227609155578</v>
      </c>
      <c r="D82" s="2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x14ac:dyDescent="0.25">
      <c r="A83" s="21">
        <v>2.4000000000000012</v>
      </c>
      <c r="B83" s="21"/>
      <c r="C83" s="21">
        <f t="shared" si="2"/>
        <v>3.4153311366036867</v>
      </c>
      <c r="D83" s="2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x14ac:dyDescent="0.25">
      <c r="A84" s="21">
        <v>2.4400000000000013</v>
      </c>
      <c r="B84" s="21"/>
      <c r="C84" s="21">
        <f t="shared" si="2"/>
        <v>3.4088402610785349</v>
      </c>
      <c r="D84" s="2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x14ac:dyDescent="0.25">
      <c r="A85" s="21">
        <v>2.4800000000000013</v>
      </c>
      <c r="B85" s="21"/>
      <c r="C85" s="21">
        <f t="shared" si="2"/>
        <v>3.402349983267297</v>
      </c>
      <c r="D85" s="2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x14ac:dyDescent="0.25">
      <c r="A86" s="21">
        <v>2.5200000000000014</v>
      </c>
      <c r="B86" s="21"/>
      <c r="C86" s="21">
        <f t="shared" si="2"/>
        <v>3.3958601825758006</v>
      </c>
      <c r="D86" s="2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x14ac:dyDescent="0.25">
      <c r="A87" s="21">
        <v>2.5600000000000014</v>
      </c>
      <c r="B87" s="21"/>
      <c r="C87" s="21">
        <f t="shared" si="2"/>
        <v>3.3893707627399889</v>
      </c>
      <c r="D87" s="2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x14ac:dyDescent="0.25">
      <c r="A88" s="21">
        <v>2.6000000000000014</v>
      </c>
      <c r="B88" s="21"/>
      <c r="C88" s="21">
        <f t="shared" ref="C88:C122" si="3">$G$5+LOG10($G$2*EXP(-$G$3*A88)+(1-$G$2)*EXP(-$G$4*A88))</f>
        <v>3.3828816469175771</v>
      </c>
      <c r="D88" s="2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x14ac:dyDescent="0.25">
      <c r="A89" s="21">
        <v>2.6400000000000015</v>
      </c>
      <c r="B89" s="21"/>
      <c r="C89" s="21">
        <f t="shared" si="3"/>
        <v>3.3763927737698047</v>
      </c>
      <c r="D89" s="2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x14ac:dyDescent="0.25">
      <c r="A90" s="21">
        <v>2.6800000000000015</v>
      </c>
      <c r="B90" s="21"/>
      <c r="C90" s="21">
        <f t="shared" si="3"/>
        <v>3.3699040943336072</v>
      </c>
      <c r="D90" s="2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x14ac:dyDescent="0.25">
      <c r="A91" s="21">
        <v>2.7200000000000015</v>
      </c>
      <c r="B91" s="21"/>
      <c r="C91" s="21">
        <f t="shared" si="3"/>
        <v>3.3634155695247738</v>
      </c>
      <c r="D91" s="2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x14ac:dyDescent="0.25">
      <c r="A92" s="21">
        <v>2.7600000000000016</v>
      </c>
      <c r="B92" s="21"/>
      <c r="C92" s="21">
        <f t="shared" si="3"/>
        <v>3.3569271681448312</v>
      </c>
      <c r="D92" s="2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x14ac:dyDescent="0.25">
      <c r="A93" s="21">
        <v>2.8000000000000016</v>
      </c>
      <c r="B93" s="21"/>
      <c r="C93" s="21">
        <f t="shared" si="3"/>
        <v>3.3504388652900254</v>
      </c>
      <c r="D93" s="2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x14ac:dyDescent="0.25">
      <c r="A94" s="21">
        <v>2.8400000000000016</v>
      </c>
      <c r="B94" s="21"/>
      <c r="C94" s="21">
        <f t="shared" si="3"/>
        <v>3.3439506410812969</v>
      </c>
      <c r="D94" s="2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x14ac:dyDescent="0.25">
      <c r="A95" s="21">
        <v>2.8800000000000017</v>
      </c>
      <c r="B95" s="21"/>
      <c r="C95" s="21">
        <f t="shared" si="3"/>
        <v>3.3374624796504895</v>
      </c>
      <c r="D95" s="2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x14ac:dyDescent="0.25">
      <c r="A96" s="21">
        <v>2.9200000000000017</v>
      </c>
      <c r="B96" s="21"/>
      <c r="C96" s="21">
        <f t="shared" si="3"/>
        <v>3.3309743683310971</v>
      </c>
      <c r="D96" s="2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x14ac:dyDescent="0.25">
      <c r="A97" s="21">
        <v>2.9600000000000017</v>
      </c>
      <c r="B97" s="21"/>
      <c r="C97" s="21">
        <f t="shared" si="3"/>
        <v>3.3244862970122853</v>
      </c>
      <c r="D97" s="2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x14ac:dyDescent="0.25">
      <c r="A98" s="21">
        <v>3.0000000000000018</v>
      </c>
      <c r="B98" s="21"/>
      <c r="C98" s="21">
        <f t="shared" si="3"/>
        <v>3.3179982576232478</v>
      </c>
      <c r="D98" s="2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x14ac:dyDescent="0.25">
      <c r="A99" s="21">
        <v>3.0400000000000018</v>
      </c>
      <c r="B99" s="21"/>
      <c r="C99" s="21">
        <f t="shared" si="3"/>
        <v>3.3115102437215986</v>
      </c>
      <c r="D99" s="2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x14ac:dyDescent="0.25">
      <c r="A100" s="21">
        <v>3.0800000000000018</v>
      </c>
      <c r="B100" s="21"/>
      <c r="C100" s="21">
        <f t="shared" si="3"/>
        <v>3.3050222501648134</v>
      </c>
      <c r="D100" s="2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x14ac:dyDescent="0.25">
      <c r="A101" s="21">
        <v>3.1200000000000019</v>
      </c>
      <c r="B101" s="21"/>
      <c r="C101" s="21">
        <f t="shared" si="3"/>
        <v>3.2985342728479581</v>
      </c>
      <c r="D101" s="2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x14ac:dyDescent="0.25">
      <c r="A102" s="21">
        <v>3.1600000000000019</v>
      </c>
      <c r="B102" s="21"/>
      <c r="C102" s="21">
        <f t="shared" si="3"/>
        <v>3.2920463084943421</v>
      </c>
      <c r="D102" s="2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x14ac:dyDescent="0.25">
      <c r="A103" s="21">
        <v>3.200000000000002</v>
      </c>
      <c r="B103" s="21"/>
      <c r="C103" s="21">
        <f t="shared" si="3"/>
        <v>3.2855583544884031</v>
      </c>
      <c r="D103" s="2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x14ac:dyDescent="0.25">
      <c r="A104" s="21">
        <v>3.240000000000002</v>
      </c>
      <c r="B104" s="21"/>
      <c r="C104" s="21">
        <f t="shared" si="3"/>
        <v>3.2790704087423141</v>
      </c>
      <c r="D104" s="2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x14ac:dyDescent="0.25">
      <c r="A105" s="21">
        <v>3.280000000000002</v>
      </c>
      <c r="B105" s="21"/>
      <c r="C105" s="21">
        <f t="shared" si="3"/>
        <v>3.2725824695895049</v>
      </c>
      <c r="D105" s="2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x14ac:dyDescent="0.25">
      <c r="A106" s="21">
        <v>3.3200000000000021</v>
      </c>
      <c r="B106" s="21"/>
      <c r="C106" s="21">
        <f t="shared" si="3"/>
        <v>3.266094535699664</v>
      </c>
      <c r="D106" s="2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x14ac:dyDescent="0.25">
      <c r="A107" s="21">
        <v>3.3600000000000021</v>
      </c>
      <c r="B107" s="21"/>
      <c r="C107" s="21">
        <f t="shared" si="3"/>
        <v>3.2596066060108941</v>
      </c>
      <c r="D107" s="2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x14ac:dyDescent="0.25">
      <c r="A108" s="21">
        <v>3.4000000000000021</v>
      </c>
      <c r="B108" s="21"/>
      <c r="C108" s="21">
        <f t="shared" si="3"/>
        <v>3.2531186796755547</v>
      </c>
      <c r="D108" s="2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x14ac:dyDescent="0.25">
      <c r="A109" s="21">
        <v>3.4400000000000022</v>
      </c>
      <c r="B109" s="21"/>
      <c r="C109" s="21">
        <f t="shared" si="3"/>
        <v>3.2466307560170318</v>
      </c>
      <c r="D109" s="2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x14ac:dyDescent="0.25">
      <c r="A110" s="21">
        <v>3.4800000000000022</v>
      </c>
      <c r="B110" s="21"/>
      <c r="C110" s="21">
        <f t="shared" si="3"/>
        <v>3.2401428344952299</v>
      </c>
      <c r="D110" s="2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x14ac:dyDescent="0.25">
      <c r="A111" s="21">
        <v>3.5200000000000022</v>
      </c>
      <c r="B111" s="21"/>
      <c r="C111" s="21">
        <f t="shared" si="3"/>
        <v>3.2336549146790272</v>
      </c>
      <c r="D111" s="2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x14ac:dyDescent="0.25">
      <c r="A112" s="21">
        <v>3.5600000000000023</v>
      </c>
      <c r="B112" s="21"/>
      <c r="C112" s="21">
        <f t="shared" si="3"/>
        <v>3.2271669962242893</v>
      </c>
      <c r="D112" s="2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x14ac:dyDescent="0.25">
      <c r="A113" s="21">
        <v>3.6000000000000023</v>
      </c>
      <c r="B113" s="21"/>
      <c r="C113" s="21">
        <f t="shared" si="3"/>
        <v>3.2206790788563158</v>
      </c>
      <c r="D113" s="2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x14ac:dyDescent="0.25">
      <c r="A114" s="21">
        <v>3.6400000000000023</v>
      </c>
      <c r="B114" s="21"/>
      <c r="C114" s="21">
        <f t="shared" si="3"/>
        <v>3.2141911623558332</v>
      </c>
      <c r="D114" s="2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x14ac:dyDescent="0.25">
      <c r="A115" s="21">
        <v>3.6800000000000024</v>
      </c>
      <c r="B115" s="21"/>
      <c r="C115" s="21">
        <f t="shared" si="3"/>
        <v>3.2077032465478093</v>
      </c>
      <c r="D115" s="2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x14ac:dyDescent="0.25">
      <c r="A116" s="21">
        <v>3.7200000000000024</v>
      </c>
      <c r="B116" s="21"/>
      <c r="C116" s="21">
        <f t="shared" si="3"/>
        <v>3.2012153312925284</v>
      </c>
      <c r="D116" s="2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x14ac:dyDescent="0.25">
      <c r="A117" s="21">
        <v>3.7600000000000025</v>
      </c>
      <c r="B117" s="21"/>
      <c r="C117" s="21">
        <f t="shared" si="3"/>
        <v>3.1947274164784649</v>
      </c>
      <c r="D117" s="2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x14ac:dyDescent="0.25">
      <c r="A118" s="21">
        <v>3.8000000000000025</v>
      </c>
      <c r="B118" s="21"/>
      <c r="C118" s="21">
        <f t="shared" si="3"/>
        <v>3.1882395020165957</v>
      </c>
      <c r="D118" s="2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x14ac:dyDescent="0.25">
      <c r="A119" s="21">
        <v>3.8400000000000025</v>
      </c>
      <c r="B119" s="21"/>
      <c r="C119" s="21">
        <f t="shared" si="3"/>
        <v>3.1817515878358584</v>
      </c>
      <c r="D119" s="2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x14ac:dyDescent="0.25">
      <c r="A120" s="21">
        <v>3.8800000000000026</v>
      </c>
      <c r="B120" s="21"/>
      <c r="C120" s="21">
        <f t="shared" si="3"/>
        <v>3.1752636738795301</v>
      </c>
      <c r="D120" s="2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x14ac:dyDescent="0.25">
      <c r="A121" s="21">
        <v>3.9200000000000026</v>
      </c>
      <c r="B121" s="21"/>
      <c r="C121" s="21">
        <f t="shared" si="3"/>
        <v>3.1687757601023323</v>
      </c>
      <c r="D121" s="2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x14ac:dyDescent="0.25">
      <c r="A122" s="21">
        <v>3.9600000000000026</v>
      </c>
      <c r="B122" s="21"/>
      <c r="C122" s="21">
        <f t="shared" si="3"/>
        <v>3.1622878464681223</v>
      </c>
      <c r="D122" s="2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x14ac:dyDescent="0.25">
      <c r="A123" s="21"/>
      <c r="B123" s="21"/>
      <c r="C123" s="21"/>
      <c r="D123" s="21"/>
      <c r="E123" s="11"/>
      <c r="F123" s="11"/>
      <c r="G123" s="11"/>
      <c r="H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x14ac:dyDescent="0.25">
      <c r="A124" s="21"/>
      <c r="B124" s="21"/>
      <c r="C124" s="21"/>
      <c r="D124" s="21"/>
      <c r="E124" s="11"/>
      <c r="F124" s="11"/>
      <c r="G124" s="11"/>
      <c r="H124" s="11"/>
      <c r="I124" s="11"/>
      <c r="J124" s="11"/>
      <c r="K124" s="11"/>
      <c r="L124" s="11"/>
      <c r="M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x14ac:dyDescent="0.25">
      <c r="A125" s="21"/>
      <c r="B125" s="21"/>
      <c r="C125" s="21"/>
      <c r="D125" s="21"/>
      <c r="E125" s="11"/>
      <c r="F125" s="11"/>
      <c r="G125" s="11"/>
      <c r="H125" s="11"/>
      <c r="I125" s="11"/>
      <c r="J125" s="11"/>
      <c r="K125" s="11"/>
      <c r="L125" s="11"/>
      <c r="M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x14ac:dyDescent="0.25">
      <c r="A126" s="21"/>
      <c r="B126" s="21"/>
      <c r="C126" s="21"/>
      <c r="D126" s="21"/>
      <c r="E126" s="11"/>
      <c r="F126" s="11"/>
      <c r="G126" s="11"/>
      <c r="H126" s="11"/>
      <c r="I126" s="11"/>
      <c r="J126" s="11"/>
      <c r="K126" s="11"/>
      <c r="L126" s="11"/>
      <c r="M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x14ac:dyDescent="0.25">
      <c r="A127" s="21"/>
      <c r="B127" s="21"/>
      <c r="C127" s="21"/>
      <c r="D127" s="21"/>
      <c r="E127" s="11"/>
      <c r="F127" s="11"/>
      <c r="G127" s="11"/>
      <c r="H127" s="11"/>
      <c r="I127" s="11"/>
      <c r="J127" s="11"/>
      <c r="K127" s="11"/>
      <c r="L127" s="11"/>
      <c r="M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x14ac:dyDescent="0.25">
      <c r="A128" s="21"/>
      <c r="B128" s="21"/>
      <c r="C128" s="21"/>
      <c r="D128" s="21"/>
      <c r="E128" s="11"/>
      <c r="F128" s="11"/>
      <c r="G128" s="11"/>
      <c r="H128" s="11"/>
      <c r="I128" s="11"/>
      <c r="J128" s="11"/>
      <c r="K128" s="11"/>
      <c r="L128" s="11"/>
      <c r="M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x14ac:dyDescent="0.25">
      <c r="A129" s="21"/>
      <c r="B129" s="21"/>
      <c r="C129" s="21"/>
      <c r="D129" s="21"/>
      <c r="E129" s="11"/>
      <c r="F129" s="11"/>
      <c r="G129" s="11"/>
      <c r="H129" s="11"/>
      <c r="I129" s="11"/>
      <c r="J129" s="11"/>
      <c r="K129" s="11"/>
      <c r="L129" s="11"/>
      <c r="M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x14ac:dyDescent="0.25">
      <c r="A130" s="21"/>
      <c r="B130" s="21"/>
      <c r="C130" s="21"/>
      <c r="D130" s="21"/>
      <c r="E130" s="11"/>
      <c r="F130" s="11"/>
      <c r="G130" s="11"/>
      <c r="H130" s="11"/>
      <c r="I130" s="11"/>
      <c r="J130" s="11"/>
      <c r="K130" s="11"/>
      <c r="L130" s="11"/>
      <c r="M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x14ac:dyDescent="0.25">
      <c r="A131" s="21"/>
      <c r="B131" s="21"/>
      <c r="C131" s="21"/>
      <c r="D131" s="21"/>
      <c r="E131" s="11"/>
      <c r="F131" s="11"/>
      <c r="G131" s="11"/>
      <c r="H131" s="11"/>
      <c r="I131" s="11"/>
      <c r="J131" s="11"/>
      <c r="K131" s="11"/>
      <c r="L131" s="11"/>
      <c r="M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x14ac:dyDescent="0.25">
      <c r="A132" s="21"/>
      <c r="B132" s="21"/>
      <c r="C132" s="21"/>
      <c r="D132" s="21"/>
    </row>
    <row r="133" spans="1:43" x14ac:dyDescent="0.25">
      <c r="A133" s="21"/>
      <c r="B133" s="21"/>
      <c r="C133" s="21"/>
      <c r="D133" s="21"/>
    </row>
    <row r="134" spans="1:43" x14ac:dyDescent="0.25">
      <c r="A134" s="21"/>
      <c r="B134" s="21"/>
      <c r="C134" s="21"/>
      <c r="D134" s="21"/>
    </row>
    <row r="135" spans="1:43" x14ac:dyDescent="0.25">
      <c r="A135" s="21"/>
      <c r="B135" s="21"/>
      <c r="C135" s="21"/>
      <c r="D135" s="21"/>
    </row>
    <row r="136" spans="1:43" x14ac:dyDescent="0.25">
      <c r="A136" s="21"/>
      <c r="B136" s="21"/>
      <c r="C136" s="21"/>
      <c r="D136" s="21"/>
    </row>
    <row r="137" spans="1:43" x14ac:dyDescent="0.25">
      <c r="A137" s="21"/>
      <c r="B137" s="21"/>
      <c r="C137" s="21"/>
      <c r="D137" s="21"/>
    </row>
    <row r="138" spans="1:43" x14ac:dyDescent="0.25">
      <c r="A138" s="21"/>
      <c r="B138" s="21"/>
      <c r="C138" s="21"/>
      <c r="D138" s="21"/>
    </row>
    <row r="139" spans="1:43" x14ac:dyDescent="0.25">
      <c r="A139" s="21"/>
      <c r="B139" s="21"/>
      <c r="C139" s="21"/>
      <c r="D139" s="21"/>
    </row>
    <row r="140" spans="1:43" x14ac:dyDescent="0.25">
      <c r="A140" s="21"/>
      <c r="B140" s="21"/>
      <c r="C140" s="21"/>
      <c r="D140" s="21"/>
    </row>
    <row r="141" spans="1:43" x14ac:dyDescent="0.25">
      <c r="A141" s="21"/>
      <c r="B141" s="21"/>
      <c r="C141" s="21"/>
      <c r="D141" s="21"/>
    </row>
    <row r="142" spans="1:43" x14ac:dyDescent="0.25">
      <c r="A142" s="21"/>
      <c r="B142" s="21"/>
      <c r="C142" s="21"/>
      <c r="D142" s="21"/>
    </row>
    <row r="143" spans="1:43" x14ac:dyDescent="0.25">
      <c r="A143" s="21"/>
      <c r="B143" s="21"/>
      <c r="C143" s="21"/>
      <c r="D143" s="21"/>
    </row>
    <row r="144" spans="1:43" x14ac:dyDescent="0.25">
      <c r="A144" s="21"/>
      <c r="B144" s="21"/>
      <c r="C144" s="21"/>
      <c r="D144" s="21"/>
    </row>
    <row r="145" spans="1:4" x14ac:dyDescent="0.25">
      <c r="A145" s="21"/>
      <c r="B145" s="21"/>
      <c r="C145" s="21"/>
      <c r="D145" s="21"/>
    </row>
    <row r="146" spans="1:4" x14ac:dyDescent="0.25">
      <c r="A146" s="21"/>
      <c r="B146" s="21"/>
      <c r="C146" s="21"/>
      <c r="D146" s="21"/>
    </row>
    <row r="147" spans="1:4" x14ac:dyDescent="0.25">
      <c r="A147" s="21"/>
      <c r="B147" s="21"/>
      <c r="C147" s="21"/>
      <c r="D147" s="21"/>
    </row>
    <row r="148" spans="1:4" x14ac:dyDescent="0.25">
      <c r="A148" s="21"/>
      <c r="B148" s="21"/>
      <c r="C148" s="21"/>
      <c r="D148" s="21"/>
    </row>
    <row r="149" spans="1:4" x14ac:dyDescent="0.25">
      <c r="A149" s="21"/>
      <c r="B149" s="21"/>
      <c r="C149" s="21"/>
      <c r="D149" s="21"/>
    </row>
    <row r="150" spans="1:4" x14ac:dyDescent="0.25">
      <c r="A150" s="21"/>
      <c r="B150" s="21"/>
      <c r="C150" s="21"/>
      <c r="D150" s="21"/>
    </row>
    <row r="151" spans="1:4" x14ac:dyDescent="0.25">
      <c r="A151" s="21"/>
      <c r="B151" s="21"/>
      <c r="C151" s="21"/>
      <c r="D151" s="21"/>
    </row>
    <row r="152" spans="1:4" x14ac:dyDescent="0.25">
      <c r="A152" s="21"/>
      <c r="B152" s="21"/>
      <c r="C152" s="21"/>
      <c r="D152" s="21"/>
    </row>
    <row r="153" spans="1:4" x14ac:dyDescent="0.25">
      <c r="A153" s="21"/>
      <c r="B153" s="21"/>
      <c r="C153" s="21"/>
      <c r="D153" s="21"/>
    </row>
    <row r="154" spans="1:4" x14ac:dyDescent="0.25">
      <c r="A154" s="21"/>
      <c r="B154" s="21"/>
      <c r="C154" s="21"/>
      <c r="D154" s="21"/>
    </row>
    <row r="155" spans="1:4" x14ac:dyDescent="0.25">
      <c r="A155" s="21"/>
      <c r="B155" s="21"/>
      <c r="C155" s="21"/>
      <c r="D155" s="21"/>
    </row>
    <row r="156" spans="1:4" x14ac:dyDescent="0.25">
      <c r="A156" s="21"/>
      <c r="B156" s="21"/>
      <c r="C156" s="21"/>
      <c r="D156" s="21"/>
    </row>
    <row r="157" spans="1:4" x14ac:dyDescent="0.25">
      <c r="A157" s="21"/>
      <c r="B157" s="21"/>
      <c r="C157" s="21"/>
      <c r="D157" s="21"/>
    </row>
    <row r="158" spans="1:4" x14ac:dyDescent="0.25">
      <c r="A158" s="21"/>
      <c r="B158" s="21"/>
      <c r="C158" s="21"/>
      <c r="D158" s="21"/>
    </row>
    <row r="159" spans="1:4" x14ac:dyDescent="0.25">
      <c r="A159" s="21"/>
      <c r="B159" s="21"/>
      <c r="C159" s="21"/>
      <c r="D159" s="21"/>
    </row>
    <row r="160" spans="1:4" x14ac:dyDescent="0.25">
      <c r="A160" s="21"/>
      <c r="B160" s="21"/>
      <c r="C160" s="21"/>
      <c r="D160" s="21"/>
    </row>
    <row r="161" spans="1:4" x14ac:dyDescent="0.25">
      <c r="A161" s="21"/>
      <c r="B161" s="21"/>
      <c r="C161" s="21"/>
      <c r="D161" s="21"/>
    </row>
    <row r="162" spans="1:4" x14ac:dyDescent="0.25">
      <c r="A162" s="21"/>
      <c r="B162" s="21"/>
      <c r="C162" s="21"/>
      <c r="D162" s="21"/>
    </row>
    <row r="163" spans="1:4" x14ac:dyDescent="0.25">
      <c r="A163" s="21"/>
      <c r="B163" s="21"/>
      <c r="C163" s="21"/>
      <c r="D163" s="21"/>
    </row>
    <row r="164" spans="1:4" x14ac:dyDescent="0.25">
      <c r="A164" s="21"/>
      <c r="B164" s="21"/>
      <c r="C164" s="21"/>
      <c r="D164" s="21"/>
    </row>
    <row r="165" spans="1:4" x14ac:dyDescent="0.25">
      <c r="A165" s="21"/>
      <c r="B165" s="21"/>
      <c r="C165" s="21"/>
      <c r="D165" s="21"/>
    </row>
    <row r="166" spans="1:4" x14ac:dyDescent="0.25">
      <c r="A166" s="21"/>
      <c r="B166" s="21"/>
      <c r="C166" s="21"/>
      <c r="D166" s="21"/>
    </row>
    <row r="167" spans="1:4" x14ac:dyDescent="0.25">
      <c r="A167" s="21"/>
      <c r="B167" s="21"/>
      <c r="C167" s="21"/>
      <c r="D167" s="21"/>
    </row>
    <row r="168" spans="1:4" x14ac:dyDescent="0.25">
      <c r="A168" s="21"/>
      <c r="B168" s="21"/>
      <c r="C168" s="21"/>
      <c r="D168" s="21"/>
    </row>
    <row r="169" spans="1:4" x14ac:dyDescent="0.25">
      <c r="A169" s="21"/>
      <c r="B169" s="21"/>
      <c r="C169" s="21"/>
      <c r="D169" s="21"/>
    </row>
    <row r="170" spans="1:4" x14ac:dyDescent="0.25">
      <c r="A170" s="21"/>
      <c r="B170" s="21"/>
      <c r="C170" s="21"/>
      <c r="D170" s="21"/>
    </row>
    <row r="171" spans="1:4" x14ac:dyDescent="0.25">
      <c r="A171" s="21"/>
      <c r="B171" s="21"/>
      <c r="C171" s="21"/>
      <c r="D171" s="21"/>
    </row>
    <row r="172" spans="1:4" x14ac:dyDescent="0.25">
      <c r="A172" s="21"/>
      <c r="B172" s="21"/>
      <c r="C172" s="21"/>
      <c r="D172" s="21"/>
    </row>
    <row r="173" spans="1:4" x14ac:dyDescent="0.25">
      <c r="A173" s="21"/>
      <c r="B173" s="21"/>
      <c r="C173" s="21"/>
      <c r="D173" s="21"/>
    </row>
    <row r="174" spans="1:4" x14ac:dyDescent="0.25">
      <c r="A174" s="21"/>
      <c r="B174" s="21"/>
      <c r="C174" s="21"/>
      <c r="D174" s="21"/>
    </row>
    <row r="175" spans="1:4" x14ac:dyDescent="0.25">
      <c r="A175" s="21"/>
      <c r="B175" s="21"/>
      <c r="C175" s="21"/>
      <c r="D175" s="21"/>
    </row>
    <row r="176" spans="1:4" x14ac:dyDescent="0.25">
      <c r="A176" s="21"/>
      <c r="B176" s="21"/>
      <c r="C176" s="21"/>
      <c r="D176" s="21"/>
    </row>
    <row r="177" spans="1:4" x14ac:dyDescent="0.25">
      <c r="A177" s="21"/>
      <c r="B177" s="21"/>
      <c r="C177" s="21"/>
      <c r="D177" s="21"/>
    </row>
    <row r="178" spans="1:4" x14ac:dyDescent="0.25">
      <c r="A178" s="21"/>
      <c r="B178" s="21"/>
      <c r="C178" s="21"/>
      <c r="D178" s="21"/>
    </row>
    <row r="179" spans="1:4" x14ac:dyDescent="0.25">
      <c r="A179" s="21"/>
      <c r="B179" s="21"/>
      <c r="C179" s="21"/>
      <c r="D179" s="21"/>
    </row>
    <row r="180" spans="1:4" x14ac:dyDescent="0.25">
      <c r="A180" s="21"/>
      <c r="B180" s="21"/>
      <c r="C180" s="21"/>
      <c r="D180" s="21"/>
    </row>
    <row r="181" spans="1:4" x14ac:dyDescent="0.25">
      <c r="A181" s="21"/>
      <c r="B181" s="21"/>
      <c r="C181" s="21"/>
      <c r="D181" s="21"/>
    </row>
    <row r="182" spans="1:4" x14ac:dyDescent="0.25">
      <c r="A182" s="21"/>
      <c r="B182" s="21"/>
      <c r="C182" s="21"/>
      <c r="D182" s="21"/>
    </row>
    <row r="183" spans="1:4" x14ac:dyDescent="0.25">
      <c r="A183" s="21"/>
      <c r="B183" s="21"/>
      <c r="C183" s="21"/>
      <c r="D183" s="21"/>
    </row>
    <row r="184" spans="1:4" x14ac:dyDescent="0.25">
      <c r="A184" s="21"/>
      <c r="B184" s="21"/>
      <c r="C184" s="21"/>
      <c r="D184" s="21"/>
    </row>
    <row r="185" spans="1:4" x14ac:dyDescent="0.25">
      <c r="A185" s="21"/>
      <c r="B185" s="21"/>
      <c r="C185" s="21"/>
      <c r="D185" s="21"/>
    </row>
    <row r="186" spans="1:4" x14ac:dyDescent="0.25">
      <c r="A186" s="21"/>
      <c r="B186" s="21"/>
      <c r="C186" s="21"/>
      <c r="D186" s="21"/>
    </row>
    <row r="187" spans="1:4" x14ac:dyDescent="0.25">
      <c r="A187" s="21"/>
      <c r="B187" s="21"/>
      <c r="C187" s="21"/>
      <c r="D187" s="21"/>
    </row>
    <row r="188" spans="1:4" x14ac:dyDescent="0.25">
      <c r="A188" s="21"/>
      <c r="B188" s="21"/>
      <c r="C188" s="21"/>
      <c r="D188" s="21"/>
    </row>
    <row r="189" spans="1:4" x14ac:dyDescent="0.25">
      <c r="A189" s="21"/>
      <c r="B189" s="21"/>
      <c r="C189" s="21"/>
      <c r="D189" s="21"/>
    </row>
    <row r="190" spans="1:4" x14ac:dyDescent="0.25">
      <c r="A190" s="21"/>
      <c r="B190" s="21"/>
      <c r="C190" s="21"/>
      <c r="D190" s="21"/>
    </row>
    <row r="191" spans="1:4" x14ac:dyDescent="0.25">
      <c r="A191" s="21"/>
      <c r="B191" s="21"/>
      <c r="C191" s="21"/>
      <c r="D191" s="21"/>
    </row>
    <row r="192" spans="1:4" x14ac:dyDescent="0.25">
      <c r="A192" s="21"/>
      <c r="B192" s="21"/>
      <c r="C192" s="21"/>
      <c r="D192" s="21"/>
    </row>
    <row r="193" spans="1:4" x14ac:dyDescent="0.25">
      <c r="A193" s="21"/>
      <c r="B193" s="21"/>
      <c r="C193" s="21"/>
      <c r="D193" s="21"/>
    </row>
    <row r="194" spans="1:4" x14ac:dyDescent="0.25">
      <c r="A194" s="21"/>
      <c r="B194" s="21"/>
      <c r="C194" s="21"/>
      <c r="D194" s="21"/>
    </row>
    <row r="195" spans="1:4" x14ac:dyDescent="0.25">
      <c r="A195" s="21"/>
      <c r="B195" s="21"/>
      <c r="C195" s="21"/>
      <c r="D195" s="21"/>
    </row>
    <row r="196" spans="1:4" x14ac:dyDescent="0.25">
      <c r="A196" s="21"/>
      <c r="B196" s="21"/>
      <c r="C196" s="21"/>
      <c r="D196" s="21"/>
    </row>
    <row r="197" spans="1:4" x14ac:dyDescent="0.25">
      <c r="A197" s="21"/>
      <c r="B197" s="21"/>
      <c r="C197" s="21"/>
      <c r="D197" s="21"/>
    </row>
    <row r="198" spans="1:4" x14ac:dyDescent="0.25">
      <c r="A198" s="21"/>
      <c r="B198" s="21"/>
      <c r="C198" s="21"/>
      <c r="D198" s="21"/>
    </row>
    <row r="199" spans="1:4" x14ac:dyDescent="0.25">
      <c r="A199" s="21"/>
      <c r="B199" s="21"/>
      <c r="C199" s="21"/>
      <c r="D199" s="21"/>
    </row>
    <row r="200" spans="1:4" x14ac:dyDescent="0.25">
      <c r="A200" s="21"/>
      <c r="B200" s="21"/>
      <c r="C200" s="21"/>
      <c r="D200" s="21"/>
    </row>
    <row r="201" spans="1:4" x14ac:dyDescent="0.25">
      <c r="A201" s="21"/>
      <c r="B201" s="21"/>
      <c r="C201" s="21"/>
      <c r="D201" s="21"/>
    </row>
    <row r="202" spans="1:4" x14ac:dyDescent="0.25">
      <c r="A202" s="21"/>
      <c r="B202" s="21"/>
      <c r="C202" s="21"/>
      <c r="D202" s="21"/>
    </row>
    <row r="203" spans="1:4" x14ac:dyDescent="0.25">
      <c r="A203" s="21"/>
      <c r="B203" s="21"/>
      <c r="C203" s="21"/>
      <c r="D203" s="21"/>
    </row>
    <row r="204" spans="1:4" x14ac:dyDescent="0.25">
      <c r="A204" s="21"/>
      <c r="B204" s="21"/>
      <c r="C204" s="21"/>
      <c r="D204" s="21"/>
    </row>
    <row r="205" spans="1:4" x14ac:dyDescent="0.25">
      <c r="A205" s="21"/>
      <c r="B205" s="21"/>
      <c r="C205" s="21"/>
      <c r="D205" s="21"/>
    </row>
    <row r="206" spans="1:4" x14ac:dyDescent="0.25">
      <c r="A206" s="21"/>
      <c r="B206" s="21"/>
      <c r="C206" s="21"/>
      <c r="D206" s="21"/>
    </row>
    <row r="207" spans="1:4" x14ac:dyDescent="0.25">
      <c r="A207" s="21"/>
      <c r="B207" s="21"/>
      <c r="C207" s="21"/>
      <c r="D207" s="21"/>
    </row>
    <row r="208" spans="1:4" x14ac:dyDescent="0.25">
      <c r="A208" s="21"/>
      <c r="B208" s="21"/>
      <c r="C208" s="21"/>
      <c r="D208" s="21"/>
    </row>
    <row r="209" spans="1:4" x14ac:dyDescent="0.25">
      <c r="A209" s="21"/>
      <c r="B209" s="21"/>
      <c r="C209" s="21"/>
      <c r="D209" s="21"/>
    </row>
    <row r="210" spans="1:4" x14ac:dyDescent="0.25">
      <c r="A210" s="21"/>
      <c r="B210" s="21"/>
      <c r="C210" s="21"/>
      <c r="D210" s="21"/>
    </row>
    <row r="211" spans="1:4" x14ac:dyDescent="0.25">
      <c r="A211" s="21"/>
      <c r="B211" s="21"/>
      <c r="C211" s="21"/>
      <c r="D211" s="21"/>
    </row>
    <row r="212" spans="1:4" x14ac:dyDescent="0.25">
      <c r="A212" s="21"/>
      <c r="B212" s="21"/>
      <c r="C212" s="21"/>
      <c r="D212" s="21"/>
    </row>
    <row r="213" spans="1:4" x14ac:dyDescent="0.25">
      <c r="A213" s="21"/>
      <c r="B213" s="21"/>
      <c r="C213" s="21"/>
      <c r="D213" s="21"/>
    </row>
    <row r="214" spans="1:4" x14ac:dyDescent="0.25">
      <c r="A214" s="21"/>
      <c r="B214" s="21"/>
      <c r="C214" s="21"/>
      <c r="D214" s="21"/>
    </row>
    <row r="215" spans="1:4" x14ac:dyDescent="0.25">
      <c r="A215" s="21"/>
      <c r="B215" s="21"/>
      <c r="C215" s="21"/>
      <c r="D215" s="21"/>
    </row>
    <row r="216" spans="1:4" x14ac:dyDescent="0.25">
      <c r="A216" s="21"/>
      <c r="B216" s="21"/>
      <c r="C216" s="21"/>
      <c r="D216" s="21"/>
    </row>
    <row r="217" spans="1:4" x14ac:dyDescent="0.25">
      <c r="A217" s="21"/>
      <c r="B217" s="21"/>
      <c r="C217" s="21"/>
      <c r="D217" s="21"/>
    </row>
    <row r="218" spans="1:4" x14ac:dyDescent="0.25">
      <c r="A218" s="21"/>
      <c r="B218" s="21"/>
      <c r="C218" s="21"/>
      <c r="D218" s="21"/>
    </row>
    <row r="219" spans="1:4" x14ac:dyDescent="0.25">
      <c r="A219" s="21"/>
      <c r="B219" s="21"/>
      <c r="C219" s="21"/>
      <c r="D219" s="21"/>
    </row>
    <row r="220" spans="1:4" x14ac:dyDescent="0.25">
      <c r="A220" s="21"/>
      <c r="B220" s="21"/>
      <c r="C220" s="21"/>
      <c r="D220" s="21"/>
    </row>
    <row r="221" spans="1:4" x14ac:dyDescent="0.25">
      <c r="A221" s="21"/>
      <c r="B221" s="21"/>
      <c r="C221" s="21"/>
      <c r="D221" s="21"/>
    </row>
    <row r="222" spans="1:4" x14ac:dyDescent="0.25">
      <c r="A222" s="21"/>
      <c r="B222" s="21"/>
      <c r="C222" s="21"/>
      <c r="D222" s="21"/>
    </row>
    <row r="223" spans="1:4" x14ac:dyDescent="0.25">
      <c r="A223" s="21"/>
      <c r="B223" s="21"/>
      <c r="C223" s="21"/>
      <c r="D223" s="21"/>
    </row>
    <row r="224" spans="1:4" x14ac:dyDescent="0.25">
      <c r="A224" s="21"/>
      <c r="B224" s="21"/>
      <c r="C224" s="21"/>
      <c r="D224" s="21"/>
    </row>
    <row r="225" spans="1:4" x14ac:dyDescent="0.25">
      <c r="A225" s="21"/>
      <c r="B225" s="21"/>
      <c r="C225" s="21"/>
      <c r="D225" s="21"/>
    </row>
    <row r="226" spans="1:4" x14ac:dyDescent="0.25">
      <c r="A226" s="21"/>
      <c r="B226" s="21"/>
      <c r="C226" s="21"/>
      <c r="D226" s="21"/>
    </row>
    <row r="227" spans="1:4" x14ac:dyDescent="0.25">
      <c r="A227" s="21"/>
      <c r="B227" s="21"/>
      <c r="C227" s="21"/>
      <c r="D227" s="21"/>
    </row>
    <row r="228" spans="1:4" x14ac:dyDescent="0.25">
      <c r="A228" s="21"/>
      <c r="B228" s="21"/>
      <c r="C228" s="21"/>
      <c r="D228" s="21"/>
    </row>
    <row r="229" spans="1:4" x14ac:dyDescent="0.25">
      <c r="A229" s="21"/>
      <c r="B229" s="21"/>
      <c r="C229" s="21"/>
      <c r="D229" s="21"/>
    </row>
    <row r="230" spans="1:4" x14ac:dyDescent="0.25">
      <c r="A230" s="21"/>
      <c r="B230" s="21"/>
      <c r="C230" s="21"/>
      <c r="D230" s="21"/>
    </row>
    <row r="231" spans="1:4" x14ac:dyDescent="0.25">
      <c r="A231" s="21"/>
      <c r="B231" s="21"/>
      <c r="C231" s="21"/>
      <c r="D231" s="21"/>
    </row>
    <row r="232" spans="1:4" x14ac:dyDescent="0.25">
      <c r="A232" s="21"/>
      <c r="B232" s="21"/>
      <c r="C232" s="21"/>
      <c r="D232" s="21"/>
    </row>
    <row r="233" spans="1:4" x14ac:dyDescent="0.25">
      <c r="A233" s="21"/>
      <c r="B233" s="21"/>
      <c r="C233" s="21"/>
      <c r="D233" s="21"/>
    </row>
    <row r="234" spans="1:4" x14ac:dyDescent="0.25">
      <c r="A234" s="21"/>
      <c r="B234" s="21"/>
      <c r="C234" s="21"/>
      <c r="D234" s="21"/>
    </row>
    <row r="235" spans="1:4" x14ac:dyDescent="0.25">
      <c r="A235" s="21"/>
      <c r="B235" s="21"/>
      <c r="C235" s="21"/>
      <c r="D235" s="21"/>
    </row>
    <row r="236" spans="1:4" x14ac:dyDescent="0.25">
      <c r="A236" s="21"/>
      <c r="B236" s="21"/>
      <c r="C236" s="21"/>
      <c r="D236" s="21"/>
    </row>
    <row r="237" spans="1:4" x14ac:dyDescent="0.25">
      <c r="A237" s="21"/>
      <c r="B237" s="21"/>
      <c r="C237" s="21"/>
      <c r="D237" s="21"/>
    </row>
    <row r="238" spans="1:4" x14ac:dyDescent="0.25">
      <c r="A238" s="21"/>
      <c r="B238" s="21"/>
      <c r="C238" s="21"/>
      <c r="D238" s="21"/>
    </row>
    <row r="239" spans="1:4" x14ac:dyDescent="0.25">
      <c r="A239" s="21"/>
      <c r="B239" s="21"/>
      <c r="C239" s="21"/>
      <c r="D239" s="21"/>
    </row>
    <row r="240" spans="1:4" x14ac:dyDescent="0.25">
      <c r="A240" s="21"/>
      <c r="B240" s="21"/>
      <c r="C240" s="21"/>
      <c r="D240" s="21"/>
    </row>
    <row r="241" spans="1:4" x14ac:dyDescent="0.25">
      <c r="A241" s="21"/>
      <c r="B241" s="21"/>
      <c r="C241" s="21"/>
      <c r="D241" s="21"/>
    </row>
    <row r="242" spans="1:4" x14ac:dyDescent="0.25">
      <c r="A242" s="21"/>
      <c r="B242" s="21"/>
      <c r="C242" s="21"/>
      <c r="D242" s="21"/>
    </row>
    <row r="243" spans="1:4" x14ac:dyDescent="0.25">
      <c r="A243" s="21"/>
      <c r="B243" s="21"/>
      <c r="C243" s="21"/>
      <c r="D243" s="21"/>
    </row>
    <row r="244" spans="1:4" x14ac:dyDescent="0.25">
      <c r="A244" s="21"/>
      <c r="B244" s="21"/>
      <c r="C244" s="21"/>
      <c r="D244" s="21"/>
    </row>
    <row r="245" spans="1:4" x14ac:dyDescent="0.25">
      <c r="A245" s="21"/>
      <c r="B245" s="21"/>
      <c r="C245" s="21"/>
      <c r="D245" s="21"/>
    </row>
    <row r="246" spans="1:4" x14ac:dyDescent="0.25">
      <c r="A246" s="21"/>
      <c r="B246" s="21"/>
      <c r="C246" s="21"/>
      <c r="D246" s="21"/>
    </row>
    <row r="247" spans="1:4" x14ac:dyDescent="0.25">
      <c r="A247" s="21"/>
      <c r="B247" s="21"/>
      <c r="C247" s="21"/>
      <c r="D247" s="21"/>
    </row>
    <row r="248" spans="1:4" x14ac:dyDescent="0.25">
      <c r="A248" s="21"/>
      <c r="B248" s="21"/>
      <c r="C248" s="21"/>
      <c r="D248" s="21"/>
    </row>
    <row r="249" spans="1:4" x14ac:dyDescent="0.25">
      <c r="A249" s="21"/>
      <c r="B249" s="21"/>
      <c r="C249" s="21"/>
      <c r="D249" s="21"/>
    </row>
    <row r="250" spans="1:4" x14ac:dyDescent="0.25">
      <c r="A250" s="21"/>
      <c r="B250" s="21"/>
      <c r="C250" s="21"/>
      <c r="D250" s="21"/>
    </row>
    <row r="251" spans="1:4" x14ac:dyDescent="0.25">
      <c r="A251" s="21"/>
      <c r="B251" s="21"/>
      <c r="C251" s="21"/>
      <c r="D251" s="21"/>
    </row>
    <row r="252" spans="1:4" x14ac:dyDescent="0.25">
      <c r="A252" s="21"/>
      <c r="B252" s="21"/>
      <c r="C252" s="21"/>
      <c r="D252" s="21"/>
    </row>
    <row r="253" spans="1:4" x14ac:dyDescent="0.25">
      <c r="A253" s="21"/>
      <c r="B253" s="21"/>
      <c r="C253" s="21"/>
      <c r="D253" s="21"/>
    </row>
    <row r="254" spans="1:4" x14ac:dyDescent="0.25">
      <c r="A254" s="21"/>
      <c r="B254" s="21"/>
      <c r="C254" s="21"/>
      <c r="D254" s="21"/>
    </row>
    <row r="255" spans="1:4" x14ac:dyDescent="0.25">
      <c r="A255" s="21"/>
      <c r="B255" s="21"/>
      <c r="C255" s="21"/>
      <c r="D255" s="21"/>
    </row>
    <row r="256" spans="1:4" x14ac:dyDescent="0.25">
      <c r="A256" s="21"/>
      <c r="B256" s="21"/>
      <c r="C256" s="21"/>
      <c r="D256" s="21"/>
    </row>
    <row r="257" spans="1:4" x14ac:dyDescent="0.25">
      <c r="A257" s="21"/>
      <c r="B257" s="21"/>
      <c r="C257" s="21"/>
      <c r="D257" s="21"/>
    </row>
    <row r="258" spans="1:4" x14ac:dyDescent="0.25">
      <c r="A258" s="21"/>
      <c r="B258" s="21"/>
      <c r="C258" s="21"/>
      <c r="D258" s="21"/>
    </row>
    <row r="259" spans="1:4" x14ac:dyDescent="0.25">
      <c r="A259" s="21"/>
      <c r="B259" s="21"/>
      <c r="C259" s="21"/>
      <c r="D259" s="21"/>
    </row>
    <row r="260" spans="1:4" x14ac:dyDescent="0.25">
      <c r="A260" s="21"/>
      <c r="B260" s="21"/>
      <c r="C260" s="21"/>
      <c r="D260" s="21"/>
    </row>
    <row r="261" spans="1:4" x14ac:dyDescent="0.25">
      <c r="A261" s="21"/>
      <c r="B261" s="21"/>
      <c r="C261" s="21"/>
      <c r="D261" s="21"/>
    </row>
    <row r="262" spans="1:4" x14ac:dyDescent="0.25">
      <c r="A262" s="21"/>
      <c r="B262" s="21"/>
      <c r="C262" s="21"/>
      <c r="D262" s="21"/>
    </row>
    <row r="263" spans="1:4" x14ac:dyDescent="0.25">
      <c r="A263" s="21"/>
      <c r="B263" s="21"/>
      <c r="C263" s="21"/>
      <c r="D263" s="21"/>
    </row>
    <row r="264" spans="1:4" x14ac:dyDescent="0.25">
      <c r="A264" s="21"/>
      <c r="B264" s="21"/>
      <c r="C264" s="21"/>
      <c r="D264" s="21"/>
    </row>
    <row r="265" spans="1:4" x14ac:dyDescent="0.25">
      <c r="A265" s="21"/>
      <c r="B265" s="21"/>
      <c r="C265" s="21"/>
      <c r="D265" s="21"/>
    </row>
    <row r="266" spans="1:4" x14ac:dyDescent="0.25">
      <c r="A266" s="21"/>
      <c r="B266" s="21"/>
      <c r="C266" s="21"/>
      <c r="D266" s="21"/>
    </row>
    <row r="267" spans="1:4" x14ac:dyDescent="0.25">
      <c r="A267" s="21"/>
      <c r="B267" s="21"/>
      <c r="C267" s="21"/>
      <c r="D267" s="21"/>
    </row>
    <row r="268" spans="1:4" x14ac:dyDescent="0.25">
      <c r="A268" s="21"/>
      <c r="B268" s="21"/>
      <c r="C268" s="21"/>
      <c r="D268" s="21"/>
    </row>
    <row r="269" spans="1:4" x14ac:dyDescent="0.25">
      <c r="A269" s="21"/>
      <c r="B269" s="21"/>
      <c r="C269" s="21"/>
      <c r="D269" s="21"/>
    </row>
    <row r="270" spans="1:4" x14ac:dyDescent="0.25">
      <c r="A270" s="21"/>
      <c r="B270" s="21"/>
      <c r="C270" s="21"/>
      <c r="D270" s="21"/>
    </row>
    <row r="271" spans="1:4" x14ac:dyDescent="0.25">
      <c r="A271" s="21"/>
      <c r="B271" s="21"/>
      <c r="C271" s="21"/>
      <c r="D271" s="21"/>
    </row>
    <row r="272" spans="1:4" x14ac:dyDescent="0.25">
      <c r="A272" s="21"/>
      <c r="B272" s="21"/>
      <c r="C272" s="21"/>
      <c r="D272" s="21"/>
    </row>
    <row r="273" spans="1:4" x14ac:dyDescent="0.25">
      <c r="A273" s="21"/>
      <c r="B273" s="21"/>
      <c r="C273" s="21"/>
      <c r="D273" s="21"/>
    </row>
    <row r="274" spans="1:4" x14ac:dyDescent="0.25">
      <c r="A274" s="21"/>
      <c r="B274" s="21"/>
      <c r="C274" s="21"/>
      <c r="D274" s="21"/>
    </row>
    <row r="275" spans="1:4" x14ac:dyDescent="0.25">
      <c r="A275" s="21"/>
      <c r="B275" s="21"/>
      <c r="C275" s="21"/>
      <c r="D275" s="21"/>
    </row>
    <row r="276" spans="1:4" x14ac:dyDescent="0.25">
      <c r="A276" s="21"/>
      <c r="B276" s="21"/>
      <c r="C276" s="21"/>
      <c r="D276" s="21"/>
    </row>
    <row r="277" spans="1:4" x14ac:dyDescent="0.25">
      <c r="A277" s="21"/>
      <c r="B277" s="21"/>
      <c r="C277" s="21"/>
      <c r="D277" s="21"/>
    </row>
    <row r="278" spans="1:4" x14ac:dyDescent="0.25">
      <c r="A278" s="21"/>
      <c r="B278" s="21"/>
      <c r="C278" s="21"/>
      <c r="D278" s="21"/>
    </row>
    <row r="279" spans="1:4" x14ac:dyDescent="0.25">
      <c r="A279" s="21"/>
      <c r="B279" s="21"/>
      <c r="C279" s="21"/>
      <c r="D279" s="21"/>
    </row>
    <row r="280" spans="1:4" x14ac:dyDescent="0.25">
      <c r="A280" s="21"/>
      <c r="B280" s="21"/>
      <c r="C280" s="21"/>
      <c r="D280" s="21"/>
    </row>
    <row r="281" spans="1:4" x14ac:dyDescent="0.25">
      <c r="A281" s="21"/>
      <c r="B281" s="21"/>
      <c r="C281" s="21"/>
      <c r="D281" s="21"/>
    </row>
    <row r="282" spans="1:4" x14ac:dyDescent="0.25">
      <c r="A282" s="21"/>
      <c r="B282" s="21"/>
      <c r="C282" s="21"/>
      <c r="D282" s="21"/>
    </row>
    <row r="283" spans="1:4" x14ac:dyDescent="0.25">
      <c r="A283" s="21"/>
      <c r="B283" s="21"/>
      <c r="C283" s="21"/>
      <c r="D283" s="21"/>
    </row>
    <row r="284" spans="1:4" x14ac:dyDescent="0.25">
      <c r="A284" s="21"/>
      <c r="B284" s="21"/>
      <c r="C284" s="21"/>
      <c r="D284" s="21"/>
    </row>
    <row r="285" spans="1:4" x14ac:dyDescent="0.25">
      <c r="A285" s="21"/>
      <c r="B285" s="21"/>
      <c r="C285" s="21"/>
      <c r="D285" s="21"/>
    </row>
    <row r="286" spans="1:4" x14ac:dyDescent="0.25">
      <c r="A286" s="21"/>
      <c r="B286" s="21"/>
      <c r="C286" s="21"/>
      <c r="D286" s="21"/>
    </row>
    <row r="287" spans="1:4" x14ac:dyDescent="0.25">
      <c r="A287" s="21"/>
      <c r="B287" s="21"/>
      <c r="C287" s="21"/>
      <c r="D287" s="21"/>
    </row>
    <row r="288" spans="1:4" x14ac:dyDescent="0.25">
      <c r="A288" s="21"/>
      <c r="B288" s="21"/>
      <c r="C288" s="21"/>
      <c r="D288" s="21"/>
    </row>
    <row r="289" spans="1:4" x14ac:dyDescent="0.25">
      <c r="A289" s="21"/>
      <c r="B289" s="21"/>
      <c r="C289" s="21"/>
      <c r="D289" s="21"/>
    </row>
    <row r="290" spans="1:4" x14ac:dyDescent="0.25">
      <c r="A290" s="21"/>
      <c r="B290" s="21"/>
      <c r="C290" s="21"/>
      <c r="D290" s="21"/>
    </row>
    <row r="291" spans="1:4" x14ac:dyDescent="0.25">
      <c r="A291" s="21"/>
      <c r="B291" s="21"/>
      <c r="C291" s="21"/>
      <c r="D291" s="21"/>
    </row>
    <row r="292" spans="1:4" x14ac:dyDescent="0.25">
      <c r="A292" s="21"/>
      <c r="B292" s="21"/>
      <c r="C292" s="21"/>
      <c r="D292" s="21"/>
    </row>
    <row r="293" spans="1:4" x14ac:dyDescent="0.25">
      <c r="A293" s="21"/>
      <c r="B293" s="21"/>
      <c r="C293" s="21"/>
      <c r="D293" s="21"/>
    </row>
    <row r="294" spans="1:4" x14ac:dyDescent="0.25">
      <c r="A294" s="21"/>
      <c r="B294" s="21"/>
      <c r="C294" s="21"/>
      <c r="D294" s="21"/>
    </row>
    <row r="295" spans="1:4" x14ac:dyDescent="0.25">
      <c r="A295" s="21"/>
      <c r="B295" s="21"/>
      <c r="C295" s="21"/>
      <c r="D295" s="21"/>
    </row>
    <row r="296" spans="1:4" x14ac:dyDescent="0.25">
      <c r="A296" s="21"/>
      <c r="B296" s="21"/>
      <c r="C296" s="21"/>
      <c r="D296" s="21"/>
    </row>
    <row r="297" spans="1:4" x14ac:dyDescent="0.25">
      <c r="A297" s="21"/>
      <c r="B297" s="21"/>
      <c r="C297" s="21"/>
      <c r="D297" s="21"/>
    </row>
    <row r="298" spans="1:4" x14ac:dyDescent="0.25">
      <c r="A298" s="21"/>
      <c r="B298" s="21"/>
      <c r="C298" s="21"/>
      <c r="D298" s="21"/>
    </row>
    <row r="299" spans="1:4" x14ac:dyDescent="0.25">
      <c r="A299" s="21"/>
      <c r="B299" s="21"/>
      <c r="C299" s="21"/>
      <c r="D299" s="21"/>
    </row>
    <row r="300" spans="1:4" x14ac:dyDescent="0.25">
      <c r="A300" s="21"/>
      <c r="B300" s="21"/>
      <c r="C300" s="21"/>
      <c r="D300" s="21"/>
    </row>
    <row r="301" spans="1:4" x14ac:dyDescent="0.25">
      <c r="A301" s="21"/>
      <c r="B301" s="21"/>
      <c r="C301" s="21"/>
      <c r="D301" s="21"/>
    </row>
    <row r="302" spans="1:4" x14ac:dyDescent="0.25">
      <c r="A302" s="21"/>
      <c r="B302" s="21"/>
      <c r="C302" s="21"/>
      <c r="D302" s="21"/>
    </row>
    <row r="303" spans="1:4" x14ac:dyDescent="0.25">
      <c r="A303" s="21"/>
      <c r="B303" s="21"/>
      <c r="C303" s="21"/>
      <c r="D303" s="21"/>
    </row>
    <row r="304" spans="1:4" x14ac:dyDescent="0.25">
      <c r="A304" s="21"/>
      <c r="B304" s="21"/>
      <c r="C304" s="21"/>
      <c r="D304" s="21"/>
    </row>
    <row r="305" spans="1:4" x14ac:dyDescent="0.25">
      <c r="A305" s="21"/>
      <c r="B305" s="21"/>
      <c r="C305" s="21"/>
      <c r="D305" s="21"/>
    </row>
    <row r="306" spans="1:4" x14ac:dyDescent="0.25">
      <c r="A306" s="21"/>
      <c r="B306" s="21"/>
      <c r="C306" s="21"/>
      <c r="D306" s="21"/>
    </row>
    <row r="307" spans="1:4" x14ac:dyDescent="0.25">
      <c r="A307" s="21"/>
      <c r="B307" s="21"/>
      <c r="C307" s="21"/>
      <c r="D307" s="21"/>
    </row>
    <row r="308" spans="1:4" x14ac:dyDescent="0.25">
      <c r="A308" s="21"/>
      <c r="B308" s="21"/>
      <c r="C308" s="21"/>
      <c r="D308" s="21"/>
    </row>
    <row r="309" spans="1:4" x14ac:dyDescent="0.25">
      <c r="A309" s="21"/>
      <c r="B309" s="21"/>
      <c r="C309" s="21"/>
      <c r="D309" s="21"/>
    </row>
    <row r="310" spans="1:4" x14ac:dyDescent="0.25">
      <c r="A310" s="21"/>
      <c r="B310" s="21"/>
      <c r="C310" s="21"/>
      <c r="D310" s="21"/>
    </row>
    <row r="311" spans="1:4" x14ac:dyDescent="0.25">
      <c r="A311" s="21"/>
      <c r="B311" s="21"/>
      <c r="C311" s="21"/>
      <c r="D311" s="21"/>
    </row>
    <row r="312" spans="1:4" x14ac:dyDescent="0.25">
      <c r="A312" s="21"/>
      <c r="B312" s="21"/>
      <c r="C312" s="21"/>
      <c r="D312" s="21"/>
    </row>
    <row r="313" spans="1:4" x14ac:dyDescent="0.25">
      <c r="A313" s="21"/>
      <c r="B313" s="21"/>
      <c r="C313" s="21"/>
      <c r="D313" s="21"/>
    </row>
    <row r="314" spans="1:4" x14ac:dyDescent="0.25">
      <c r="A314" s="21"/>
      <c r="B314" s="21"/>
      <c r="C314" s="21"/>
      <c r="D314" s="21"/>
    </row>
    <row r="315" spans="1:4" x14ac:dyDescent="0.25">
      <c r="A315" s="21"/>
      <c r="B315" s="21"/>
      <c r="C315" s="21"/>
      <c r="D315" s="21"/>
    </row>
    <row r="316" spans="1:4" x14ac:dyDescent="0.25">
      <c r="A316" s="21"/>
      <c r="B316" s="21"/>
      <c r="C316" s="21"/>
      <c r="D316" s="21"/>
    </row>
    <row r="317" spans="1:4" x14ac:dyDescent="0.25">
      <c r="A317" s="21"/>
      <c r="B317" s="21"/>
      <c r="C317" s="21"/>
      <c r="D317" s="21"/>
    </row>
    <row r="318" spans="1:4" x14ac:dyDescent="0.25">
      <c r="A318" s="21"/>
      <c r="B318" s="21"/>
      <c r="C318" s="21"/>
      <c r="D318" s="21"/>
    </row>
    <row r="319" spans="1:4" x14ac:dyDescent="0.25">
      <c r="A319" s="21"/>
      <c r="B319" s="21"/>
      <c r="C319" s="21"/>
      <c r="D319" s="21"/>
    </row>
    <row r="320" spans="1:4" x14ac:dyDescent="0.25">
      <c r="A320" s="21"/>
      <c r="B320" s="21"/>
      <c r="C320" s="21"/>
      <c r="D320" s="21"/>
    </row>
    <row r="321" spans="1:4" x14ac:dyDescent="0.25">
      <c r="A321" s="21"/>
      <c r="B321" s="21"/>
      <c r="C321" s="21"/>
      <c r="D321" s="21"/>
    </row>
    <row r="322" spans="1:4" x14ac:dyDescent="0.25">
      <c r="A322" s="21"/>
      <c r="B322" s="21"/>
      <c r="C322" s="21"/>
      <c r="D322" s="21"/>
    </row>
    <row r="323" spans="1:4" x14ac:dyDescent="0.25">
      <c r="A323" s="21"/>
      <c r="B323" s="21"/>
      <c r="C323" s="21"/>
      <c r="D323" s="21"/>
    </row>
    <row r="324" spans="1:4" x14ac:dyDescent="0.25">
      <c r="A324" s="21"/>
      <c r="B324" s="21"/>
      <c r="C324" s="21"/>
      <c r="D324" s="21"/>
    </row>
    <row r="325" spans="1:4" x14ac:dyDescent="0.25">
      <c r="A325" s="21"/>
      <c r="B325" s="21"/>
      <c r="C325" s="21"/>
      <c r="D325" s="21"/>
    </row>
    <row r="326" spans="1:4" x14ac:dyDescent="0.25">
      <c r="A326" s="21"/>
      <c r="B326" s="21"/>
      <c r="C326" s="21"/>
      <c r="D326" s="21"/>
    </row>
    <row r="327" spans="1:4" x14ac:dyDescent="0.25">
      <c r="A327" s="21"/>
      <c r="B327" s="21"/>
      <c r="C327" s="21"/>
      <c r="D327" s="21"/>
    </row>
    <row r="328" spans="1:4" x14ac:dyDescent="0.25">
      <c r="A328" s="21"/>
      <c r="B328" s="21"/>
      <c r="C328" s="21"/>
      <c r="D328" s="21"/>
    </row>
    <row r="329" spans="1:4" x14ac:dyDescent="0.25">
      <c r="A329" s="21"/>
      <c r="B329" s="21"/>
      <c r="C329" s="21"/>
      <c r="D329" s="21"/>
    </row>
    <row r="330" spans="1:4" x14ac:dyDescent="0.25">
      <c r="A330" s="21"/>
      <c r="B330" s="21"/>
      <c r="C330" s="21"/>
      <c r="D330" s="21"/>
    </row>
    <row r="331" spans="1:4" x14ac:dyDescent="0.25">
      <c r="A331" s="21"/>
      <c r="B331" s="21"/>
      <c r="C331" s="21"/>
      <c r="D331" s="21"/>
    </row>
    <row r="332" spans="1:4" x14ac:dyDescent="0.25">
      <c r="A332" s="21"/>
      <c r="B332" s="21"/>
      <c r="C332" s="21"/>
      <c r="D332" s="21"/>
    </row>
    <row r="333" spans="1:4" x14ac:dyDescent="0.25">
      <c r="A333" s="21"/>
      <c r="B333" s="21"/>
      <c r="C333" s="21"/>
      <c r="D333" s="21"/>
    </row>
    <row r="334" spans="1:4" x14ac:dyDescent="0.25">
      <c r="A334" s="21"/>
      <c r="B334" s="21"/>
      <c r="C334" s="21"/>
      <c r="D334" s="21"/>
    </row>
    <row r="335" spans="1:4" x14ac:dyDescent="0.25">
      <c r="A335" s="21"/>
      <c r="B335" s="21"/>
      <c r="C335" s="21"/>
      <c r="D335" s="21"/>
    </row>
    <row r="336" spans="1:4" x14ac:dyDescent="0.25">
      <c r="A336" s="21"/>
      <c r="B336" s="21"/>
      <c r="C336" s="21"/>
      <c r="D336" s="21"/>
    </row>
    <row r="337" spans="1:4" x14ac:dyDescent="0.25">
      <c r="A337" s="21"/>
      <c r="B337" s="21"/>
      <c r="C337" s="21"/>
      <c r="D337" s="21"/>
    </row>
    <row r="338" spans="1:4" x14ac:dyDescent="0.25">
      <c r="A338" s="21"/>
      <c r="B338" s="21"/>
      <c r="C338" s="21"/>
      <c r="D338" s="21"/>
    </row>
    <row r="339" spans="1:4" x14ac:dyDescent="0.25">
      <c r="A339" s="21"/>
      <c r="B339" s="21"/>
      <c r="C339" s="21"/>
      <c r="D339" s="21"/>
    </row>
    <row r="340" spans="1:4" x14ac:dyDescent="0.25">
      <c r="A340" s="21"/>
      <c r="B340" s="21"/>
      <c r="C340" s="21"/>
      <c r="D340" s="21"/>
    </row>
    <row r="341" spans="1:4" x14ac:dyDescent="0.25">
      <c r="A341" s="21"/>
      <c r="B341" s="21"/>
      <c r="C341" s="21"/>
      <c r="D341" s="21"/>
    </row>
    <row r="342" spans="1:4" x14ac:dyDescent="0.25">
      <c r="A342" s="21"/>
      <c r="B342" s="21"/>
      <c r="C342" s="21"/>
      <c r="D342" s="21"/>
    </row>
    <row r="343" spans="1:4" x14ac:dyDescent="0.25">
      <c r="A343" s="21"/>
      <c r="B343" s="21"/>
      <c r="C343" s="21"/>
      <c r="D343" s="21"/>
    </row>
    <row r="344" spans="1:4" x14ac:dyDescent="0.25">
      <c r="A344" s="21"/>
      <c r="B344" s="21"/>
      <c r="C344" s="21"/>
      <c r="D344" s="21"/>
    </row>
    <row r="345" spans="1:4" x14ac:dyDescent="0.25">
      <c r="A345" s="21"/>
      <c r="B345" s="21"/>
      <c r="C345" s="21"/>
      <c r="D345" s="21"/>
    </row>
    <row r="346" spans="1:4" x14ac:dyDescent="0.25">
      <c r="A346" s="21"/>
      <c r="B346" s="21"/>
      <c r="C346" s="21"/>
      <c r="D346" s="21"/>
    </row>
    <row r="347" spans="1:4" x14ac:dyDescent="0.25">
      <c r="A347" s="21"/>
      <c r="B347" s="21"/>
      <c r="C347" s="21"/>
      <c r="D347" s="21"/>
    </row>
    <row r="348" spans="1:4" x14ac:dyDescent="0.25">
      <c r="A348" s="21"/>
      <c r="B348" s="21"/>
      <c r="C348" s="21"/>
      <c r="D348" s="21"/>
    </row>
    <row r="349" spans="1:4" x14ac:dyDescent="0.25">
      <c r="A349" s="21"/>
      <c r="B349" s="21"/>
      <c r="C349" s="21"/>
      <c r="D349" s="21"/>
    </row>
    <row r="350" spans="1:4" x14ac:dyDescent="0.25">
      <c r="A350" s="21"/>
      <c r="B350" s="21"/>
      <c r="C350" s="21"/>
      <c r="D350" s="21"/>
    </row>
    <row r="351" spans="1:4" x14ac:dyDescent="0.25">
      <c r="A351" s="21"/>
      <c r="B351" s="21"/>
      <c r="C351" s="21"/>
      <c r="D351" s="21"/>
    </row>
    <row r="352" spans="1:4" x14ac:dyDescent="0.25">
      <c r="A352" s="21"/>
      <c r="B352" s="21"/>
      <c r="C352" s="21"/>
      <c r="D352" s="21"/>
    </row>
    <row r="353" spans="1:4" x14ac:dyDescent="0.25">
      <c r="A353" s="21"/>
      <c r="B353" s="21"/>
      <c r="C353" s="21"/>
      <c r="D353" s="21"/>
    </row>
    <row r="354" spans="1:4" x14ac:dyDescent="0.25">
      <c r="A354" s="21"/>
      <c r="B354" s="21"/>
      <c r="C354" s="21"/>
      <c r="D354" s="21"/>
    </row>
    <row r="355" spans="1:4" x14ac:dyDescent="0.25">
      <c r="A355" s="21"/>
      <c r="B355" s="21"/>
      <c r="C355" s="21"/>
      <c r="D355" s="21"/>
    </row>
    <row r="356" spans="1:4" x14ac:dyDescent="0.25">
      <c r="A356" s="21"/>
      <c r="B356" s="21"/>
      <c r="C356" s="21"/>
      <c r="D356" s="21"/>
    </row>
    <row r="357" spans="1:4" x14ac:dyDescent="0.25">
      <c r="A357" s="21"/>
      <c r="B357" s="21"/>
      <c r="C357" s="21"/>
      <c r="D357" s="21"/>
    </row>
    <row r="358" spans="1:4" x14ac:dyDescent="0.25">
      <c r="A358" s="21"/>
      <c r="B358" s="21"/>
      <c r="C358" s="21"/>
      <c r="D358" s="21"/>
    </row>
    <row r="359" spans="1:4" x14ac:dyDescent="0.25">
      <c r="A359" s="21"/>
      <c r="B359" s="21"/>
      <c r="C359" s="21"/>
      <c r="D359" s="21"/>
    </row>
    <row r="360" spans="1:4" x14ac:dyDescent="0.25">
      <c r="A360" s="21"/>
      <c r="B360" s="21"/>
      <c r="C360" s="21"/>
      <c r="D360" s="21"/>
    </row>
    <row r="361" spans="1:4" x14ac:dyDescent="0.25">
      <c r="A361" s="21"/>
      <c r="B361" s="21"/>
      <c r="C361" s="21"/>
      <c r="D361" s="21"/>
    </row>
    <row r="362" spans="1:4" x14ac:dyDescent="0.25">
      <c r="A362" s="21"/>
      <c r="B362" s="21"/>
      <c r="C362" s="21"/>
      <c r="D362" s="21"/>
    </row>
    <row r="363" spans="1:4" x14ac:dyDescent="0.25">
      <c r="A363" s="21"/>
      <c r="B363" s="21"/>
      <c r="C363" s="21"/>
      <c r="D363" s="21"/>
    </row>
    <row r="364" spans="1:4" x14ac:dyDescent="0.25">
      <c r="A364" s="21"/>
      <c r="B364" s="21"/>
      <c r="C364" s="21"/>
      <c r="D364" s="21"/>
    </row>
    <row r="365" spans="1:4" x14ac:dyDescent="0.25">
      <c r="A365" s="21"/>
      <c r="B365" s="21"/>
      <c r="C365" s="21"/>
      <c r="D365" s="21"/>
    </row>
    <row r="366" spans="1:4" x14ac:dyDescent="0.25">
      <c r="A366" s="21"/>
      <c r="B366" s="21"/>
      <c r="C366" s="21"/>
      <c r="D366" s="21"/>
    </row>
    <row r="367" spans="1:4" x14ac:dyDescent="0.25">
      <c r="A367" s="21"/>
      <c r="B367" s="21"/>
      <c r="C367" s="21"/>
      <c r="D367" s="21"/>
    </row>
    <row r="368" spans="1:4" x14ac:dyDescent="0.25">
      <c r="A368" s="21"/>
      <c r="B368" s="21"/>
      <c r="C368" s="21"/>
      <c r="D368" s="21"/>
    </row>
    <row r="369" spans="1:4" x14ac:dyDescent="0.25">
      <c r="A369" s="21"/>
      <c r="B369" s="21"/>
      <c r="C369" s="21"/>
      <c r="D369" s="21"/>
    </row>
    <row r="370" spans="1:4" x14ac:dyDescent="0.25">
      <c r="A370" s="21"/>
      <c r="B370" s="21"/>
      <c r="C370" s="21"/>
      <c r="D370" s="21"/>
    </row>
    <row r="371" spans="1:4" x14ac:dyDescent="0.25">
      <c r="A371" s="21"/>
      <c r="B371" s="21"/>
      <c r="C371" s="21"/>
      <c r="D371" s="21"/>
    </row>
    <row r="372" spans="1:4" x14ac:dyDescent="0.25">
      <c r="A372" s="21"/>
      <c r="B372" s="21"/>
      <c r="C372" s="21"/>
      <c r="D372" s="21"/>
    </row>
    <row r="373" spans="1:4" x14ac:dyDescent="0.25">
      <c r="A373" s="21"/>
      <c r="B373" s="21"/>
      <c r="C373" s="21"/>
      <c r="D373" s="21"/>
    </row>
    <row r="374" spans="1:4" x14ac:dyDescent="0.25">
      <c r="A374" s="21"/>
      <c r="B374" s="21"/>
      <c r="C374" s="21"/>
      <c r="D374" s="21"/>
    </row>
    <row r="375" spans="1:4" x14ac:dyDescent="0.25">
      <c r="A375" s="21"/>
      <c r="B375" s="21"/>
      <c r="C375" s="21"/>
      <c r="D375" s="21"/>
    </row>
    <row r="376" spans="1:4" x14ac:dyDescent="0.25">
      <c r="A376" s="21"/>
      <c r="B376" s="21"/>
      <c r="C376" s="21"/>
      <c r="D376" s="21"/>
    </row>
    <row r="377" spans="1:4" x14ac:dyDescent="0.25">
      <c r="A377" s="21"/>
      <c r="B377" s="21"/>
      <c r="C377" s="21"/>
      <c r="D377" s="21"/>
    </row>
    <row r="378" spans="1:4" x14ac:dyDescent="0.25">
      <c r="A378" s="21"/>
      <c r="B378" s="21"/>
      <c r="C378" s="21"/>
      <c r="D378" s="21"/>
    </row>
    <row r="379" spans="1:4" x14ac:dyDescent="0.25">
      <c r="A379" s="21"/>
      <c r="B379" s="21"/>
      <c r="C379" s="21"/>
      <c r="D379" s="21"/>
    </row>
    <row r="380" spans="1:4" x14ac:dyDescent="0.25">
      <c r="A380" s="21"/>
      <c r="B380" s="21"/>
      <c r="C380" s="21"/>
      <c r="D380" s="21"/>
    </row>
    <row r="381" spans="1:4" x14ac:dyDescent="0.25">
      <c r="A381" s="21"/>
      <c r="B381" s="21"/>
      <c r="C381" s="21"/>
      <c r="D381" s="21"/>
    </row>
    <row r="382" spans="1:4" x14ac:dyDescent="0.25">
      <c r="A382" s="21"/>
      <c r="B382" s="21"/>
      <c r="C382" s="21"/>
      <c r="D382" s="21"/>
    </row>
    <row r="383" spans="1:4" x14ac:dyDescent="0.25">
      <c r="A383" s="21"/>
      <c r="B383" s="21"/>
      <c r="C383" s="21"/>
      <c r="D383" s="21"/>
    </row>
    <row r="384" spans="1:4" x14ac:dyDescent="0.25">
      <c r="A384" s="21"/>
      <c r="B384" s="21"/>
      <c r="C384" s="21"/>
      <c r="D384" s="21"/>
    </row>
    <row r="385" spans="1:4" x14ac:dyDescent="0.25">
      <c r="A385" s="21"/>
      <c r="B385" s="21"/>
      <c r="C385" s="21"/>
      <c r="D385" s="21"/>
    </row>
    <row r="386" spans="1:4" x14ac:dyDescent="0.25">
      <c r="A386" s="21"/>
      <c r="B386" s="21"/>
      <c r="C386" s="21"/>
      <c r="D386" s="21"/>
    </row>
    <row r="387" spans="1:4" x14ac:dyDescent="0.25">
      <c r="A387" s="21"/>
      <c r="B387" s="21"/>
      <c r="C387" s="21"/>
      <c r="D387" s="21"/>
    </row>
    <row r="388" spans="1:4" x14ac:dyDescent="0.25">
      <c r="A388" s="21"/>
      <c r="B388" s="21"/>
      <c r="C388" s="21"/>
      <c r="D388" s="21"/>
    </row>
    <row r="389" spans="1:4" x14ac:dyDescent="0.25">
      <c r="A389" s="21"/>
      <c r="B389" s="21"/>
      <c r="C389" s="21"/>
      <c r="D389" s="21"/>
    </row>
    <row r="390" spans="1:4" x14ac:dyDescent="0.25">
      <c r="A390" s="21"/>
      <c r="B390" s="21"/>
      <c r="C390" s="21"/>
      <c r="D390" s="21"/>
    </row>
    <row r="391" spans="1:4" x14ac:dyDescent="0.25">
      <c r="A391" s="21"/>
      <c r="B391" s="21"/>
      <c r="C391" s="21"/>
      <c r="D391" s="21"/>
    </row>
    <row r="392" spans="1:4" x14ac:dyDescent="0.25">
      <c r="A392" s="21"/>
      <c r="B392" s="21"/>
      <c r="C392" s="21"/>
      <c r="D392" s="21"/>
    </row>
    <row r="393" spans="1:4" x14ac:dyDescent="0.25">
      <c r="A393" s="21"/>
      <c r="B393" s="21"/>
      <c r="C393" s="21"/>
      <c r="D393" s="21"/>
    </row>
    <row r="394" spans="1:4" x14ac:dyDescent="0.25">
      <c r="A394" s="21"/>
      <c r="B394" s="21"/>
      <c r="C394" s="21"/>
      <c r="D394" s="21"/>
    </row>
    <row r="395" spans="1:4" x14ac:dyDescent="0.25">
      <c r="A395" s="21"/>
      <c r="B395" s="21"/>
      <c r="C395" s="21"/>
      <c r="D395" s="21"/>
    </row>
    <row r="396" spans="1:4" x14ac:dyDescent="0.25">
      <c r="A396" s="21"/>
      <c r="B396" s="21"/>
      <c r="C396" s="21"/>
      <c r="D396" s="21"/>
    </row>
    <row r="397" spans="1:4" x14ac:dyDescent="0.25">
      <c r="A397" s="21"/>
      <c r="B397" s="21"/>
      <c r="C397" s="21"/>
      <c r="D397" s="21"/>
    </row>
    <row r="398" spans="1:4" x14ac:dyDescent="0.25">
      <c r="A398" s="21"/>
      <c r="B398" s="21"/>
      <c r="C398" s="21"/>
      <c r="D398" s="21"/>
    </row>
    <row r="399" spans="1:4" x14ac:dyDescent="0.25">
      <c r="A399" s="21"/>
      <c r="B399" s="21"/>
      <c r="C399" s="21"/>
      <c r="D399" s="21"/>
    </row>
    <row r="400" spans="1:4" x14ac:dyDescent="0.25">
      <c r="A400" s="21"/>
      <c r="B400" s="21"/>
      <c r="C400" s="21"/>
      <c r="D400" s="21"/>
    </row>
    <row r="401" spans="1:4" x14ac:dyDescent="0.25">
      <c r="A401" s="21"/>
      <c r="B401" s="21"/>
      <c r="C401" s="21"/>
      <c r="D401" s="21"/>
    </row>
    <row r="402" spans="1:4" x14ac:dyDescent="0.25">
      <c r="A402" s="21"/>
      <c r="B402" s="21"/>
      <c r="C402" s="21"/>
      <c r="D402" s="21"/>
    </row>
    <row r="403" spans="1:4" x14ac:dyDescent="0.25">
      <c r="A403" s="21"/>
      <c r="B403" s="21"/>
      <c r="C403" s="21"/>
      <c r="D403" s="21"/>
    </row>
    <row r="404" spans="1:4" x14ac:dyDescent="0.25">
      <c r="A404" s="21"/>
      <c r="B404" s="21"/>
      <c r="C404" s="21"/>
      <c r="D404" s="21"/>
    </row>
    <row r="405" spans="1:4" x14ac:dyDescent="0.25">
      <c r="A405" s="21"/>
      <c r="B405" s="21"/>
      <c r="C405" s="21"/>
      <c r="D405" s="21"/>
    </row>
    <row r="406" spans="1:4" x14ac:dyDescent="0.25">
      <c r="A406" s="21"/>
      <c r="B406" s="21"/>
      <c r="C406" s="21"/>
      <c r="D406" s="21"/>
    </row>
    <row r="407" spans="1:4" x14ac:dyDescent="0.25">
      <c r="A407" s="21"/>
      <c r="B407" s="21"/>
      <c r="C407" s="21"/>
      <c r="D407" s="21"/>
    </row>
    <row r="408" spans="1:4" x14ac:dyDescent="0.25">
      <c r="A408" s="21"/>
      <c r="B408" s="21"/>
      <c r="C408" s="21"/>
      <c r="D408" s="21"/>
    </row>
    <row r="409" spans="1:4" x14ac:dyDescent="0.25">
      <c r="A409" s="21"/>
      <c r="B409" s="21"/>
      <c r="C409" s="21"/>
      <c r="D409" s="21"/>
    </row>
    <row r="410" spans="1:4" x14ac:dyDescent="0.25">
      <c r="A410" s="21"/>
      <c r="B410" s="21"/>
      <c r="C410" s="21"/>
      <c r="D410" s="21"/>
    </row>
    <row r="411" spans="1:4" x14ac:dyDescent="0.25">
      <c r="A411" s="21"/>
      <c r="B411" s="21"/>
      <c r="C411" s="21"/>
      <c r="D411" s="21"/>
    </row>
    <row r="412" spans="1:4" x14ac:dyDescent="0.25">
      <c r="A412" s="21"/>
      <c r="B412" s="21"/>
      <c r="C412" s="21"/>
      <c r="D412" s="21"/>
    </row>
    <row r="413" spans="1:4" x14ac:dyDescent="0.25">
      <c r="A413" s="21"/>
      <c r="B413" s="21"/>
      <c r="C413" s="21"/>
      <c r="D413" s="21"/>
    </row>
    <row r="414" spans="1:4" x14ac:dyDescent="0.25">
      <c r="A414" s="21"/>
      <c r="B414" s="21"/>
      <c r="C414" s="21"/>
      <c r="D414" s="21"/>
    </row>
    <row r="415" spans="1:4" x14ac:dyDescent="0.25">
      <c r="A415" s="21"/>
      <c r="B415" s="21"/>
      <c r="C415" s="21"/>
      <c r="D415" s="21"/>
    </row>
    <row r="416" spans="1:4" x14ac:dyDescent="0.25">
      <c r="A416" s="21"/>
      <c r="B416" s="21"/>
      <c r="C416" s="21"/>
      <c r="D416" s="21"/>
    </row>
    <row r="417" spans="1:4" x14ac:dyDescent="0.25">
      <c r="A417" s="21"/>
      <c r="B417" s="21"/>
      <c r="C417" s="21"/>
      <c r="D417" s="21"/>
    </row>
    <row r="418" spans="1:4" x14ac:dyDescent="0.25">
      <c r="A418" s="21"/>
      <c r="B418" s="21"/>
      <c r="C418" s="21"/>
      <c r="D418" s="21"/>
    </row>
    <row r="419" spans="1:4" x14ac:dyDescent="0.25">
      <c r="A419" s="21"/>
      <c r="B419" s="21"/>
      <c r="C419" s="21"/>
      <c r="D419" s="21"/>
    </row>
    <row r="420" spans="1:4" x14ac:dyDescent="0.25">
      <c r="A420" s="21"/>
      <c r="B420" s="21"/>
      <c r="C420" s="21"/>
      <c r="D420" s="21"/>
    </row>
    <row r="421" spans="1:4" x14ac:dyDescent="0.25">
      <c r="A421" s="21"/>
      <c r="B421" s="21"/>
      <c r="C421" s="21"/>
      <c r="D421" s="21"/>
    </row>
    <row r="422" spans="1:4" x14ac:dyDescent="0.25">
      <c r="A422" s="21"/>
      <c r="B422" s="21"/>
      <c r="C422" s="21"/>
      <c r="D422" s="21"/>
    </row>
    <row r="423" spans="1:4" x14ac:dyDescent="0.25">
      <c r="A423" s="21"/>
      <c r="B423" s="21"/>
      <c r="C423" s="21"/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>
      <selection sqref="A1:F19"/>
    </sheetView>
  </sheetViews>
  <sheetFormatPr defaultRowHeight="15" x14ac:dyDescent="0.25"/>
  <cols>
    <col min="1" max="1" width="9.140625" style="17"/>
    <col min="2" max="2" width="10.5703125" style="17" bestFit="1" customWidth="1"/>
    <col min="3" max="3" width="11.28515625" style="17" bestFit="1" customWidth="1"/>
    <col min="4" max="4" width="13.7109375" style="17" bestFit="1" customWidth="1"/>
    <col min="5" max="5" width="10.42578125" style="17" bestFit="1" customWidth="1"/>
    <col min="6" max="6" width="9.140625" style="17"/>
    <col min="7" max="16384" width="9.140625" style="2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15" x14ac:dyDescent="0.25">
      <c r="A2" s="17">
        <v>13136</v>
      </c>
      <c r="B2" s="17" t="s">
        <v>4</v>
      </c>
      <c r="C2" s="17" t="s">
        <v>42</v>
      </c>
      <c r="D2" s="17" t="s">
        <v>40</v>
      </c>
      <c r="E2" s="11">
        <v>0</v>
      </c>
      <c r="F2" s="21">
        <f>LOG10(2.7*10^5)</f>
        <v>5.4313637641589869</v>
      </c>
      <c r="I2" s="24"/>
      <c r="J2" s="24"/>
      <c r="O2" s="24"/>
    </row>
    <row r="3" spans="1:15" x14ac:dyDescent="0.25">
      <c r="A3" s="17">
        <v>13136</v>
      </c>
      <c r="B3" s="17" t="s">
        <v>4</v>
      </c>
      <c r="C3" s="17" t="s">
        <v>42</v>
      </c>
      <c r="D3" s="17" t="s">
        <v>40</v>
      </c>
      <c r="E3" s="11">
        <v>0.5</v>
      </c>
      <c r="F3" s="21">
        <f>LOG10(4*10^4)</f>
        <v>4.6020599913279625</v>
      </c>
      <c r="I3" s="24"/>
      <c r="J3" s="24"/>
      <c r="O3" s="24"/>
    </row>
    <row r="4" spans="1:15" x14ac:dyDescent="0.25">
      <c r="A4" s="17">
        <v>13136</v>
      </c>
      <c r="B4" s="17" t="s">
        <v>4</v>
      </c>
      <c r="C4" s="17" t="s">
        <v>42</v>
      </c>
      <c r="D4" s="17" t="s">
        <v>40</v>
      </c>
      <c r="E4" s="11">
        <v>1</v>
      </c>
      <c r="F4" s="21">
        <f>LOG10(7*10^3)</f>
        <v>3.8450980400142569</v>
      </c>
      <c r="I4" s="24"/>
      <c r="J4" s="24"/>
      <c r="O4" s="24"/>
    </row>
    <row r="5" spans="1:15" x14ac:dyDescent="0.25">
      <c r="A5" s="17">
        <v>13136</v>
      </c>
      <c r="B5" s="17" t="s">
        <v>4</v>
      </c>
      <c r="C5" s="17" t="s">
        <v>42</v>
      </c>
      <c r="D5" s="17" t="s">
        <v>40</v>
      </c>
      <c r="E5" s="11">
        <v>2</v>
      </c>
      <c r="F5" s="21">
        <f>LOG10(9.3*10^3)</f>
        <v>3.9684829485539352</v>
      </c>
      <c r="I5" s="24"/>
      <c r="J5" s="24"/>
      <c r="O5" s="24"/>
    </row>
    <row r="6" spans="1:15" x14ac:dyDescent="0.25">
      <c r="A6" s="17">
        <v>13136</v>
      </c>
      <c r="B6" s="17" t="s">
        <v>4</v>
      </c>
      <c r="C6" s="17" t="s">
        <v>42</v>
      </c>
      <c r="D6" s="17" t="s">
        <v>40</v>
      </c>
      <c r="E6" s="11">
        <v>3</v>
      </c>
      <c r="F6" s="21">
        <f>LOG10(2.85*10^3)</f>
        <v>3.4548448600085102</v>
      </c>
      <c r="I6" s="24"/>
      <c r="J6" s="24"/>
    </row>
    <row r="7" spans="1:15" x14ac:dyDescent="0.25">
      <c r="A7" s="17">
        <v>13136</v>
      </c>
      <c r="B7" s="17" t="s">
        <v>4</v>
      </c>
      <c r="C7" s="17" t="s">
        <v>42</v>
      </c>
      <c r="D7" s="17" t="s">
        <v>40</v>
      </c>
      <c r="E7" s="11">
        <v>4</v>
      </c>
      <c r="F7" s="21">
        <f>LOG10(1.85*10^3)</f>
        <v>3.2671717284030137</v>
      </c>
    </row>
    <row r="8" spans="1:15" x14ac:dyDescent="0.25">
      <c r="A8" s="17">
        <v>13136</v>
      </c>
      <c r="B8" s="17" t="s">
        <v>5</v>
      </c>
      <c r="C8" s="17" t="s">
        <v>42</v>
      </c>
      <c r="D8" s="17" t="s">
        <v>40</v>
      </c>
      <c r="E8" s="11">
        <v>0</v>
      </c>
      <c r="F8" s="21">
        <f>LOG10(1.9*10^5)</f>
        <v>5.2787536009528289</v>
      </c>
    </row>
    <row r="9" spans="1:15" x14ac:dyDescent="0.25">
      <c r="A9" s="17">
        <v>13136</v>
      </c>
      <c r="B9" s="17" t="s">
        <v>5</v>
      </c>
      <c r="C9" s="17" t="s">
        <v>42</v>
      </c>
      <c r="D9" s="17" t="s">
        <v>40</v>
      </c>
      <c r="E9" s="11">
        <v>0.5</v>
      </c>
      <c r="F9" s="21">
        <f>LOG10(9*10^3)</f>
        <v>3.9542425094393248</v>
      </c>
    </row>
    <row r="10" spans="1:15" x14ac:dyDescent="0.25">
      <c r="A10" s="17">
        <v>13136</v>
      </c>
      <c r="B10" s="17" t="s">
        <v>5</v>
      </c>
      <c r="C10" s="17" t="s">
        <v>42</v>
      </c>
      <c r="D10" s="17" t="s">
        <v>40</v>
      </c>
      <c r="E10" s="11">
        <v>1</v>
      </c>
      <c r="F10" s="21">
        <f>LOG10(9*10^3)</f>
        <v>3.9542425094393248</v>
      </c>
    </row>
    <row r="11" spans="1:15" x14ac:dyDescent="0.25">
      <c r="A11" s="17">
        <v>13136</v>
      </c>
      <c r="B11" s="17" t="s">
        <v>5</v>
      </c>
      <c r="C11" s="17" t="s">
        <v>42</v>
      </c>
      <c r="D11" s="17" t="s">
        <v>40</v>
      </c>
      <c r="E11" s="11">
        <v>2</v>
      </c>
      <c r="F11" s="21">
        <f>LOG10(3.3*10^3)</f>
        <v>3.5185139398778875</v>
      </c>
    </row>
    <row r="12" spans="1:15" x14ac:dyDescent="0.25">
      <c r="A12" s="17">
        <v>13136</v>
      </c>
      <c r="B12" s="17" t="s">
        <v>5</v>
      </c>
      <c r="C12" s="17" t="s">
        <v>42</v>
      </c>
      <c r="D12" s="17" t="s">
        <v>40</v>
      </c>
      <c r="E12" s="11">
        <v>3</v>
      </c>
      <c r="F12" s="21">
        <f>LOG10(1.65*10^3)</f>
        <v>3.2174839442139063</v>
      </c>
    </row>
    <row r="13" spans="1:15" x14ac:dyDescent="0.25">
      <c r="A13" s="17">
        <v>13136</v>
      </c>
      <c r="B13" s="17" t="s">
        <v>5</v>
      </c>
      <c r="C13" s="17" t="s">
        <v>42</v>
      </c>
      <c r="D13" s="17" t="s">
        <v>40</v>
      </c>
      <c r="E13" s="11">
        <v>4</v>
      </c>
      <c r="F13" s="21">
        <f>LOG10(1.5*10^3)</f>
        <v>3.1760912590556813</v>
      </c>
    </row>
    <row r="14" spans="1:15" x14ac:dyDescent="0.25">
      <c r="A14" s="17">
        <v>13136</v>
      </c>
      <c r="B14" s="17" t="s">
        <v>6</v>
      </c>
      <c r="C14" s="17" t="s">
        <v>42</v>
      </c>
      <c r="D14" s="17" t="s">
        <v>40</v>
      </c>
      <c r="E14" s="11">
        <v>0</v>
      </c>
      <c r="F14" s="21">
        <f>LOG10(9.3*10^4)</f>
        <v>4.9684829485539348</v>
      </c>
    </row>
    <row r="15" spans="1:15" x14ac:dyDescent="0.25">
      <c r="A15" s="17">
        <v>13136</v>
      </c>
      <c r="B15" s="17" t="s">
        <v>6</v>
      </c>
      <c r="C15" s="17" t="s">
        <v>42</v>
      </c>
      <c r="D15" s="17" t="s">
        <v>40</v>
      </c>
      <c r="E15" s="11">
        <v>0.5</v>
      </c>
      <c r="F15" s="21">
        <f>LOG10(6*10^3)</f>
        <v>3.7781512503836434</v>
      </c>
    </row>
    <row r="16" spans="1:15" x14ac:dyDescent="0.25">
      <c r="A16" s="17">
        <v>13136</v>
      </c>
      <c r="B16" s="17" t="s">
        <v>6</v>
      </c>
      <c r="C16" s="17" t="s">
        <v>42</v>
      </c>
      <c r="D16" s="17" t="s">
        <v>40</v>
      </c>
      <c r="E16" s="11">
        <v>1</v>
      </c>
      <c r="F16" s="21">
        <f>LOG10(2.3*10^3)</f>
        <v>3.3617278360175931</v>
      </c>
    </row>
    <row r="17" spans="1:6" x14ac:dyDescent="0.25">
      <c r="A17" s="17">
        <v>13136</v>
      </c>
      <c r="B17" s="17" t="s">
        <v>6</v>
      </c>
      <c r="C17" s="17" t="s">
        <v>42</v>
      </c>
      <c r="D17" s="17" t="s">
        <v>40</v>
      </c>
      <c r="E17" s="11">
        <v>2</v>
      </c>
      <c r="F17" s="21">
        <f>LOG10(6.3*10^2)</f>
        <v>2.7993405494535817</v>
      </c>
    </row>
    <row r="18" spans="1:6" x14ac:dyDescent="0.25">
      <c r="A18" s="17">
        <v>13136</v>
      </c>
      <c r="B18" s="17" t="s">
        <v>6</v>
      </c>
      <c r="C18" s="17" t="s">
        <v>42</v>
      </c>
      <c r="D18" s="17" t="s">
        <v>40</v>
      </c>
      <c r="E18" s="11">
        <v>3</v>
      </c>
      <c r="F18" s="21">
        <f>LOG10(2*10^3)</f>
        <v>3.3010299956639813</v>
      </c>
    </row>
    <row r="19" spans="1:6" x14ac:dyDescent="0.25">
      <c r="A19" s="17">
        <v>13136</v>
      </c>
      <c r="B19" s="17" t="s">
        <v>6</v>
      </c>
      <c r="C19" s="17" t="s">
        <v>42</v>
      </c>
      <c r="D19" s="17" t="s">
        <v>40</v>
      </c>
      <c r="E19" s="11">
        <v>4</v>
      </c>
      <c r="F19" s="21">
        <f>LOG10(1.15*10^3)</f>
        <v>3.0606978403536118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2.140625" bestFit="1" customWidth="1"/>
    <col min="7" max="7" width="16.57031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J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6.012837224705172</v>
      </c>
      <c r="C2" s="11">
        <f t="shared" ref="C2:C19" si="0">LOG((10^$G$5-10^$G$2)*10^(-1*((A2/$G$3)^$G$4))+10^$G$2)</f>
        <v>5.8705943592025411</v>
      </c>
      <c r="D2" s="11">
        <f t="shared" ref="D2:D19" si="1" xml:space="preserve"> (B2 - C2)^2</f>
        <v>2.0233032786399537E-2</v>
      </c>
      <c r="E2" s="5"/>
      <c r="F2" s="20" t="s">
        <v>34</v>
      </c>
      <c r="G2" s="26">
        <v>4.0787605706250307</v>
      </c>
      <c r="H2" s="26">
        <v>0.80518570610417917</v>
      </c>
      <c r="I2" s="5"/>
      <c r="J2" s="5"/>
      <c r="K2" s="5"/>
      <c r="L2" s="6" t="s">
        <v>20</v>
      </c>
      <c r="M2" s="22">
        <v>0.11964399782861425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5.1072099696478688</v>
      </c>
      <c r="C3" s="11">
        <f t="shared" si="0"/>
        <v>4.60402770832978</v>
      </c>
      <c r="D3" s="11">
        <f t="shared" si="1"/>
        <v>0.25319238810518535</v>
      </c>
      <c r="E3" s="5"/>
      <c r="F3" s="20" t="s">
        <v>33</v>
      </c>
      <c r="G3" s="26">
        <v>0.12898750039788029</v>
      </c>
      <c r="H3" s="26">
        <v>0.3146510929423923</v>
      </c>
      <c r="I3" s="5"/>
      <c r="J3" s="5"/>
      <c r="K3" s="5"/>
      <c r="L3" s="6" t="s">
        <v>23</v>
      </c>
      <c r="M3" s="22">
        <f>SQRT(M2)</f>
        <v>0.34589593496977417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5.0530784434834199</v>
      </c>
      <c r="C4" s="11">
        <f t="shared" si="0"/>
        <v>4.4313875706399948</v>
      </c>
      <c r="D4" s="11">
        <f t="shared" si="1"/>
        <v>0.38649954137681986</v>
      </c>
      <c r="E4" s="5"/>
      <c r="F4" s="20" t="s">
        <v>18</v>
      </c>
      <c r="G4" s="26">
        <v>0.25535794922007499</v>
      </c>
      <c r="H4" s="26">
        <v>0.4855065261954285</v>
      </c>
      <c r="I4" s="5"/>
      <c r="J4" s="5"/>
      <c r="K4" s="5"/>
      <c r="L4" s="6" t="s">
        <v>21</v>
      </c>
      <c r="M4" s="22">
        <v>0.78822261881786948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4.012837224705172</v>
      </c>
      <c r="C5" s="11">
        <f t="shared" si="0"/>
        <v>4.2802284028376247</v>
      </c>
      <c r="D5" s="11">
        <f t="shared" si="1"/>
        <v>7.1498042143061061E-2</v>
      </c>
      <c r="E5" s="5"/>
      <c r="F5" s="20" t="s">
        <v>14</v>
      </c>
      <c r="G5" s="26">
        <v>5.8705943592025411</v>
      </c>
      <c r="H5" s="26">
        <v>0.19970156084433091</v>
      </c>
      <c r="I5" s="5"/>
      <c r="J5" s="5"/>
      <c r="K5" s="5"/>
      <c r="L5" s="6" t="s">
        <v>22</v>
      </c>
      <c r="M5" s="22">
        <v>0.74284175142169862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4.3710678622717358</v>
      </c>
      <c r="C6" s="11">
        <f t="shared" si="0"/>
        <v>4.2109988125849895</v>
      </c>
      <c r="D6" s="11">
        <f t="shared" si="1"/>
        <v>2.5622100667618053E-2</v>
      </c>
      <c r="E6" s="5"/>
      <c r="F6" s="5"/>
      <c r="G6" s="22"/>
      <c r="H6" s="22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4.7520484478194387</v>
      </c>
      <c r="C7" s="11">
        <f t="shared" si="0"/>
        <v>4.172358707929769</v>
      </c>
      <c r="D7" s="11">
        <f t="shared" si="1"/>
        <v>0.33604019453335288</v>
      </c>
      <c r="E7" s="5"/>
      <c r="F7" s="4" t="s">
        <v>24</v>
      </c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5.8450980400142569</v>
      </c>
      <c r="C8" s="11">
        <f t="shared" si="0"/>
        <v>5.8705943592025411</v>
      </c>
      <c r="D8" s="11">
        <f t="shared" si="1"/>
        <v>6.5006229215086966E-4</v>
      </c>
      <c r="E8" s="5"/>
      <c r="F8" s="5" t="s">
        <v>35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4.2479732663618064</v>
      </c>
      <c r="C9" s="11">
        <f t="shared" si="0"/>
        <v>4.60402770832978</v>
      </c>
      <c r="D9" s="11">
        <f t="shared" si="1"/>
        <v>0.1267747656451251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4.1673173347481764</v>
      </c>
      <c r="C10" s="11">
        <f t="shared" si="0"/>
        <v>4.4313875706399948</v>
      </c>
      <c r="D10" s="11">
        <f t="shared" si="1"/>
        <v>6.9733089483960578E-2</v>
      </c>
      <c r="E10" s="5"/>
      <c r="F10" s="5" t="s">
        <v>36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4.568201724066995</v>
      </c>
      <c r="C11" s="11">
        <f t="shared" si="0"/>
        <v>4.2802284028376247</v>
      </c>
      <c r="D11" s="11">
        <f t="shared" si="1"/>
        <v>8.2928633739874066E-2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4.0354297381845488</v>
      </c>
      <c r="C12" s="11">
        <f t="shared" si="0"/>
        <v>4.2109988125849895</v>
      </c>
      <c r="D12" s="11">
        <f t="shared" si="1"/>
        <v>3.082449988582751E-2</v>
      </c>
      <c r="E12" s="5"/>
      <c r="F12" s="29" t="s">
        <v>37</v>
      </c>
      <c r="G12" s="30"/>
      <c r="H12" s="30"/>
      <c r="I12" s="30"/>
      <c r="J12" s="30"/>
      <c r="K12" s="30"/>
      <c r="L12" s="30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4.0413926851582254</v>
      </c>
      <c r="C13" s="11">
        <f t="shared" si="0"/>
        <v>4.172358707929769</v>
      </c>
      <c r="D13" s="11">
        <f t="shared" si="1"/>
        <v>1.7152099120596499E-2</v>
      </c>
      <c r="E13" s="5"/>
      <c r="F13" s="30"/>
      <c r="G13" s="30"/>
      <c r="H13" s="30"/>
      <c r="I13" s="30"/>
      <c r="J13" s="30"/>
      <c r="K13" s="30"/>
      <c r="L13" s="30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5.7558748556724915</v>
      </c>
      <c r="C14" s="11">
        <f t="shared" si="0"/>
        <v>5.8705943592025411</v>
      </c>
      <c r="D14" s="11">
        <f t="shared" si="1"/>
        <v>1.3160564490181079E-2</v>
      </c>
      <c r="E14" s="5"/>
      <c r="F14" s="30"/>
      <c r="G14" s="30"/>
      <c r="H14" s="30"/>
      <c r="I14" s="30"/>
      <c r="J14" s="30"/>
      <c r="K14" s="30"/>
      <c r="L14" s="30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4.3222192947339195</v>
      </c>
      <c r="C15" s="11">
        <f t="shared" si="0"/>
        <v>4.60402770832978</v>
      </c>
      <c r="D15" s="11">
        <f t="shared" si="1"/>
        <v>7.9415981973415581E-2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4.3673559210260189</v>
      </c>
      <c r="C16" s="11">
        <f t="shared" si="0"/>
        <v>4.4313875706399948</v>
      </c>
      <c r="D16" s="11">
        <f t="shared" si="1"/>
        <v>4.1000521522869789E-3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4.1760912590556813</v>
      </c>
      <c r="C17" s="11">
        <f t="shared" si="0"/>
        <v>4.2802284028376247</v>
      </c>
      <c r="D17" s="11">
        <f t="shared" si="1"/>
        <v>1.084454471506115E-2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3.8662873390841948</v>
      </c>
      <c r="C18" s="11">
        <f t="shared" si="0"/>
        <v>4.2109988125849895</v>
      </c>
      <c r="D18" s="11">
        <f t="shared" si="1"/>
        <v>0.11882599996308915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4.0064660422492313</v>
      </c>
      <c r="C19" s="11">
        <f t="shared" si="0"/>
        <v>4.172358707929769</v>
      </c>
      <c r="D19" s="11">
        <f t="shared" si="1"/>
        <v>2.7520376526594663E-2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1.6750159696005995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>LOG((10^$G$5-10^$G$2)*10^(-1*((A23/$G$3)^$G$4))+10^$G$2)</f>
        <v>5.8705943592025411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0.04</v>
      </c>
      <c r="B24" s="21"/>
      <c r="C24" s="21">
        <f t="shared" ref="C24:C87" si="2">LOG((10^$G$5-10^$G$2)*10^(-1*((A24/$G$3)^$G$4))+10^$G$2)</f>
        <v>5.1595898604510557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0.08</v>
      </c>
      <c r="B25" s="21"/>
      <c r="C25" s="21">
        <f t="shared" si="2"/>
        <v>5.0299006329361671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0.12</v>
      </c>
      <c r="B26" s="21"/>
      <c r="C26" s="21">
        <f t="shared" si="2"/>
        <v>4.9452750836825237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0.16</v>
      </c>
      <c r="B27" s="21"/>
      <c r="C27" s="21">
        <f t="shared" si="2"/>
        <v>4.8814065050670186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0.2</v>
      </c>
      <c r="B28" s="21"/>
      <c r="C28" s="21">
        <f t="shared" si="2"/>
        <v>4.8298187213399659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0.24000000000000002</v>
      </c>
      <c r="B29" s="21"/>
      <c r="C29" s="21">
        <f t="shared" si="2"/>
        <v>4.7864588584572108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0.28000000000000003</v>
      </c>
      <c r="B30" s="21"/>
      <c r="C30" s="21">
        <f t="shared" si="2"/>
        <v>4.7490445283214493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0.32</v>
      </c>
      <c r="B31" s="21"/>
      <c r="C31" s="21">
        <f t="shared" si="2"/>
        <v>4.7161516611591603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0.36</v>
      </c>
      <c r="B32" s="21"/>
      <c r="C32" s="21">
        <f t="shared" si="2"/>
        <v>4.6868265099723692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0.39999999999999997</v>
      </c>
      <c r="B33" s="21"/>
      <c r="C33" s="21">
        <f t="shared" si="2"/>
        <v>4.6603961780996599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0.43999999999999995</v>
      </c>
      <c r="B34" s="21"/>
      <c r="C34" s="21">
        <f t="shared" si="2"/>
        <v>4.6363665579704474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0.47999999999999993</v>
      </c>
      <c r="B35" s="21"/>
      <c r="C35" s="21">
        <f t="shared" si="2"/>
        <v>4.6143631490234336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0.51999999999999991</v>
      </c>
      <c r="B36" s="21"/>
      <c r="C36" s="21">
        <f t="shared" si="2"/>
        <v>4.5940947041328002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0.55999999999999994</v>
      </c>
      <c r="B37" s="21"/>
      <c r="C37" s="21">
        <f t="shared" si="2"/>
        <v>4.5753298385533698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0.6</v>
      </c>
      <c r="B38" s="21"/>
      <c r="C38" s="21">
        <f t="shared" si="2"/>
        <v>4.5578813933583557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0.64</v>
      </c>
      <c r="B39" s="21"/>
      <c r="C39" s="21">
        <f t="shared" si="2"/>
        <v>4.5415956424039097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0.68</v>
      </c>
      <c r="B40" s="21"/>
      <c r="C40" s="21">
        <f t="shared" si="2"/>
        <v>4.5263446365903235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0.72000000000000008</v>
      </c>
      <c r="B41" s="21"/>
      <c r="C41" s="21">
        <f t="shared" si="2"/>
        <v>4.5120206443421882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0.76000000000000012</v>
      </c>
      <c r="B42" s="21"/>
      <c r="C42" s="21">
        <f t="shared" si="2"/>
        <v>4.4985320308260324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0.80000000000000016</v>
      </c>
      <c r="B43" s="21"/>
      <c r="C43" s="21">
        <f t="shared" si="2"/>
        <v>4.4858001480909682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0.84000000000000019</v>
      </c>
      <c r="B44" s="21"/>
      <c r="C44" s="21">
        <f t="shared" si="2"/>
        <v>4.4737569503787684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0.88000000000000023</v>
      </c>
      <c r="B45" s="21"/>
      <c r="C45" s="21">
        <f t="shared" si="2"/>
        <v>4.4623431392727078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0.92000000000000026</v>
      </c>
      <c r="B46" s="21"/>
      <c r="C46" s="21">
        <f t="shared" si="2"/>
        <v>4.4515067023867294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0.9600000000000003</v>
      </c>
      <c r="B47" s="21"/>
      <c r="C47" s="21">
        <f t="shared" si="2"/>
        <v>4.441201748716785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1.0000000000000002</v>
      </c>
      <c r="B48" s="21"/>
      <c r="C48" s="21">
        <f t="shared" si="2"/>
        <v>4.4313875706399948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1.0400000000000003</v>
      </c>
      <c r="B49" s="21"/>
      <c r="C49" s="21">
        <f t="shared" si="2"/>
        <v>4.422027881192987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1.0800000000000003</v>
      </c>
      <c r="B50" s="21"/>
      <c r="C50" s="21">
        <f t="shared" si="2"/>
        <v>4.4130901884196536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1.1200000000000003</v>
      </c>
      <c r="B51" s="21"/>
      <c r="C51" s="21">
        <f t="shared" si="2"/>
        <v>4.404545278007256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1.1600000000000004</v>
      </c>
      <c r="B52" s="21"/>
      <c r="C52" s="21">
        <f t="shared" si="2"/>
        <v>4.3963667822803236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1.2000000000000004</v>
      </c>
      <c r="B53" s="21"/>
      <c r="C53" s="21">
        <f t="shared" si="2"/>
        <v>4.3885308186631153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1.2400000000000004</v>
      </c>
      <c r="B54" s="21"/>
      <c r="C54" s="21">
        <f t="shared" si="2"/>
        <v>4.3810156844753481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1.2800000000000005</v>
      </c>
      <c r="B55" s="21"/>
      <c r="C55" s="21">
        <f t="shared" si="2"/>
        <v>4.373801597751914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1.3200000000000005</v>
      </c>
      <c r="B56" s="21"/>
      <c r="C56" s="21">
        <f t="shared" si="2"/>
        <v>4.3668704759263681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1.3600000000000005</v>
      </c>
      <c r="B57" s="21"/>
      <c r="C57" s="21">
        <f t="shared" si="2"/>
        <v>4.3602057458678125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1.4000000000000006</v>
      </c>
      <c r="B58" s="21"/>
      <c r="C58" s="21">
        <f t="shared" si="2"/>
        <v>4.3537921800385115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1.4400000000000006</v>
      </c>
      <c r="B59" s="21"/>
      <c r="C59" s="21">
        <f t="shared" si="2"/>
        <v>4.34761575453732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1.4800000000000006</v>
      </c>
      <c r="B60" s="21"/>
      <c r="C60" s="21">
        <f t="shared" si="2"/>
        <v>4.3416635255791443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1.5200000000000007</v>
      </c>
      <c r="B61" s="21"/>
      <c r="C61" s="21">
        <f t="shared" si="2"/>
        <v>4.3359235215829921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1.5600000000000007</v>
      </c>
      <c r="B62" s="21"/>
      <c r="C62" s="21">
        <f t="shared" si="2"/>
        <v>4.3303846485378497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1.6000000000000008</v>
      </c>
      <c r="B63" s="21"/>
      <c r="C63" s="21">
        <f t="shared" si="2"/>
        <v>4.325036606714586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1.6400000000000008</v>
      </c>
      <c r="B64" s="21"/>
      <c r="C64" s="21">
        <f t="shared" si="2"/>
        <v>4.3198698171144594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1.6800000000000008</v>
      </c>
      <c r="B65" s="21"/>
      <c r="C65" s="21">
        <f t="shared" si="2"/>
        <v>4.3148753563068674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1.7200000000000009</v>
      </c>
      <c r="B66" s="21"/>
      <c r="C66" s="21">
        <f t="shared" si="2"/>
        <v>4.3100448985231523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1.7600000000000009</v>
      </c>
      <c r="B67" s="21"/>
      <c r="C67" s="21">
        <f t="shared" si="2"/>
        <v>4.3053706640491578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1.8000000000000009</v>
      </c>
      <c r="B68" s="21"/>
      <c r="C68" s="21">
        <f t="shared" si="2"/>
        <v>4.300845373104516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1.840000000000001</v>
      </c>
      <c r="B69" s="21"/>
      <c r="C69" s="21">
        <f t="shared" si="2"/>
        <v>4.2964622045170522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1.880000000000001</v>
      </c>
      <c r="B70" s="21"/>
      <c r="C70" s="21">
        <f t="shared" si="2"/>
        <v>4.2922147586010846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1.920000000000001</v>
      </c>
      <c r="B71" s="21"/>
      <c r="C71" s="21">
        <f t="shared" si="2"/>
        <v>4.2880970237323357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1.9600000000000011</v>
      </c>
      <c r="B72" s="21"/>
      <c r="C72" s="21">
        <f t="shared" si="2"/>
        <v>4.2841033461827012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2.0000000000000009</v>
      </c>
      <c r="B73" s="21"/>
      <c r="C73" s="21">
        <f t="shared" si="2"/>
        <v>4.2802284028376247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2.0400000000000009</v>
      </c>
      <c r="B74" s="21"/>
      <c r="C74" s="21">
        <f t="shared" si="2"/>
        <v>4.2764671764691569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2.080000000000001</v>
      </c>
      <c r="B75" s="21"/>
      <c r="C75" s="21">
        <f t="shared" si="2"/>
        <v>4.2728149332805501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2.120000000000001</v>
      </c>
      <c r="B76" s="21"/>
      <c r="C76" s="21">
        <f t="shared" si="2"/>
        <v>4.269267202474702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2.160000000000001</v>
      </c>
      <c r="B77" s="21"/>
      <c r="C77" s="21">
        <f t="shared" si="2"/>
        <v>4.2658197576299317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2.2000000000000011</v>
      </c>
      <c r="B78" s="21"/>
      <c r="C78" s="21">
        <f t="shared" si="2"/>
        <v>4.2624685996933325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2.2400000000000011</v>
      </c>
      <c r="B79" s="21"/>
      <c r="C79" s="21">
        <f t="shared" si="2"/>
        <v>4.2592099414249276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2.2800000000000011</v>
      </c>
      <c r="B80" s="21"/>
      <c r="C80" s="21">
        <f t="shared" si="2"/>
        <v>4.2560401931457488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2.3200000000000012</v>
      </c>
      <c r="B81" s="21"/>
      <c r="C81" s="21">
        <f t="shared" si="2"/>
        <v>4.2529559496601195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2.3600000000000012</v>
      </c>
      <c r="B82" s="21"/>
      <c r="C82" s="21">
        <f t="shared" si="2"/>
        <v>4.249953978237353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2.4000000000000012</v>
      </c>
      <c r="B83" s="21"/>
      <c r="C83" s="21">
        <f t="shared" si="2"/>
        <v>4.2470312075510259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2.4400000000000013</v>
      </c>
      <c r="B84" s="21"/>
      <c r="C84" s="21">
        <f t="shared" si="2"/>
        <v>4.2441847174853295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2.4800000000000013</v>
      </c>
      <c r="B85" s="21"/>
      <c r="C85" s="21">
        <f t="shared" si="2"/>
        <v>4.2414117297278775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2.5200000000000014</v>
      </c>
      <c r="B86" s="21"/>
      <c r="C86" s="21">
        <f t="shared" si="2"/>
        <v>4.238709599077005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2.5600000000000014</v>
      </c>
      <c r="B87" s="21"/>
      <c r="C87" s="21">
        <f t="shared" si="2"/>
        <v>4.2360758053992384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2.6000000000000014</v>
      </c>
      <c r="B88" s="21"/>
      <c r="C88" s="21">
        <f t="shared" ref="C88:C122" si="3">LOG((10^$G$5-10^$G$2)*10^(-1*((A88/$G$3)^$G$4))+10^$G$2)</f>
        <v>4.2335079461792784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2.6400000000000015</v>
      </c>
      <c r="B89" s="21"/>
      <c r="C89" s="21">
        <f t="shared" si="3"/>
        <v>4.2310037296107756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2.6800000000000015</v>
      </c>
      <c r="B90" s="21"/>
      <c r="C90" s="21">
        <f t="shared" si="3"/>
        <v>4.2285609681813945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2.7200000000000015</v>
      </c>
      <c r="B91" s="21"/>
      <c r="C91" s="21">
        <f t="shared" si="3"/>
        <v>4.2261775727102684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2.7600000000000016</v>
      </c>
      <c r="B92" s="21"/>
      <c r="C92" s="21">
        <f t="shared" si="3"/>
        <v>4.2238515468000948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2.8000000000000016</v>
      </c>
      <c r="B93" s="21"/>
      <c r="C93" s="21">
        <f t="shared" si="3"/>
        <v>4.2215809816697121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2.8400000000000016</v>
      </c>
      <c r="B94" s="21"/>
      <c r="C94" s="21">
        <f t="shared" si="3"/>
        <v>4.2193640513363047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2.8800000000000017</v>
      </c>
      <c r="B95" s="21"/>
      <c r="C95" s="21">
        <f t="shared" si="3"/>
        <v>4.2171990081192305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2.9200000000000017</v>
      </c>
      <c r="B96" s="21"/>
      <c r="C96" s="21">
        <f t="shared" si="3"/>
        <v>4.2150841784401019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2.9600000000000017</v>
      </c>
      <c r="B97" s="21"/>
      <c r="C97" s="21">
        <f t="shared" si="3"/>
        <v>4.2130179588960193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3.0000000000000018</v>
      </c>
      <c r="B98" s="21"/>
      <c r="C98" s="21">
        <f t="shared" si="3"/>
        <v>4.2109988125849895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3.0400000000000018</v>
      </c>
      <c r="B99" s="21"/>
      <c r="C99" s="21">
        <f t="shared" si="3"/>
        <v>4.2090252656643701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3.0800000000000018</v>
      </c>
      <c r="B100" s="21"/>
      <c r="C100" s="21">
        <f t="shared" si="3"/>
        <v>4.2070959041249081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3.1200000000000019</v>
      </c>
      <c r="B101" s="21"/>
      <c r="C101" s="21">
        <f t="shared" si="3"/>
        <v>4.2052093707644147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3.1600000000000019</v>
      </c>
      <c r="B102" s="21"/>
      <c r="C102" s="21">
        <f t="shared" si="3"/>
        <v>4.203364362346508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3.200000000000002</v>
      </c>
      <c r="B103" s="21"/>
      <c r="C103" s="21">
        <f t="shared" si="3"/>
        <v>4.2015596269310631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3.240000000000002</v>
      </c>
      <c r="B104" s="21"/>
      <c r="C104" s="21">
        <f t="shared" si="3"/>
        <v>4.1997939613641382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3.280000000000002</v>
      </c>
      <c r="B105" s="21"/>
      <c r="C105" s="21">
        <f t="shared" si="3"/>
        <v>4.1980662089161456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3.3200000000000021</v>
      </c>
      <c r="B106" s="21"/>
      <c r="C106" s="21">
        <f t="shared" si="3"/>
        <v>4.196375257057948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3.3600000000000021</v>
      </c>
      <c r="B107" s="21"/>
      <c r="C107" s="21">
        <f t="shared" si="3"/>
        <v>4.1947200353653962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3.4000000000000021</v>
      </c>
      <c r="B108" s="21"/>
      <c r="C108" s="21">
        <f t="shared" si="3"/>
        <v>4.1930995135435687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3.4400000000000022</v>
      </c>
      <c r="B109" s="21"/>
      <c r="C109" s="21">
        <f t="shared" si="3"/>
        <v>4.1915126995626695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3.4800000000000022</v>
      </c>
      <c r="B110" s="21"/>
      <c r="C110" s="21">
        <f t="shared" si="3"/>
        <v>4.1899586378981555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3.5200000000000022</v>
      </c>
      <c r="B111" s="21"/>
      <c r="C111" s="21">
        <f t="shared" si="3"/>
        <v>4.188436407868239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3.5600000000000023</v>
      </c>
      <c r="B112" s="21"/>
      <c r="C112" s="21">
        <f t="shared" si="3"/>
        <v>4.1869451220624345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3.6000000000000023</v>
      </c>
      <c r="B113" s="21"/>
      <c r="C113" s="21">
        <f t="shared" si="3"/>
        <v>4.1854839248552853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3.6400000000000023</v>
      </c>
      <c r="B114" s="21"/>
      <c r="C114" s="21">
        <f t="shared" si="3"/>
        <v>4.1840519909998459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3.6800000000000024</v>
      </c>
      <c r="B115" s="21"/>
      <c r="C115" s="21">
        <f t="shared" si="3"/>
        <v>4.1826485242958977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3.7200000000000024</v>
      </c>
      <c r="B116" s="21"/>
      <c r="C116" s="21">
        <f t="shared" si="3"/>
        <v>4.181272756328231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3.7600000000000025</v>
      </c>
      <c r="B117" s="21"/>
      <c r="C117" s="21">
        <f t="shared" si="3"/>
        <v>4.1799239452706711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3.8000000000000025</v>
      </c>
      <c r="B118" s="21"/>
      <c r="C118" s="21">
        <f t="shared" si="3"/>
        <v>4.1786013747518238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3.8400000000000025</v>
      </c>
      <c r="B119" s="21"/>
      <c r="C119" s="21">
        <f t="shared" si="3"/>
        <v>4.1773043527788198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3.8800000000000026</v>
      </c>
      <c r="B120" s="21"/>
      <c r="C120" s="21">
        <f t="shared" si="3"/>
        <v>4.1760322107155545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3.9200000000000026</v>
      </c>
      <c r="B121" s="21"/>
      <c r="C121" s="21">
        <f t="shared" si="3"/>
        <v>4.1747843023122204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3.9600000000000026</v>
      </c>
      <c r="B122" s="21"/>
      <c r="C122" s="21">
        <f t="shared" si="3"/>
        <v>4.173560002783093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5">
      <c r="A123" s="21"/>
      <c r="B123" s="21"/>
      <c r="C123" s="21"/>
      <c r="D123" s="21"/>
    </row>
    <row r="124" spans="1:34" x14ac:dyDescent="0.25">
      <c r="A124" s="21"/>
      <c r="B124" s="21"/>
      <c r="C124" s="21"/>
      <c r="D124" s="21"/>
    </row>
    <row r="125" spans="1:34" x14ac:dyDescent="0.25">
      <c r="A125" s="21"/>
      <c r="B125" s="21"/>
      <c r="C125" s="21"/>
      <c r="D125" s="21"/>
    </row>
    <row r="126" spans="1:34" x14ac:dyDescent="0.25">
      <c r="A126" s="21"/>
      <c r="B126" s="21"/>
      <c r="C126" s="21"/>
      <c r="D126" s="21"/>
    </row>
    <row r="127" spans="1:34" x14ac:dyDescent="0.25">
      <c r="A127" s="21"/>
      <c r="B127" s="21"/>
      <c r="C127" s="21"/>
      <c r="D127" s="21"/>
    </row>
    <row r="128" spans="1:34" x14ac:dyDescent="0.25">
      <c r="A128" s="21"/>
      <c r="B128" s="21"/>
      <c r="C128" s="21"/>
      <c r="D128" s="21"/>
    </row>
    <row r="129" spans="1:4" x14ac:dyDescent="0.25">
      <c r="A129" s="21"/>
      <c r="B129" s="21"/>
      <c r="C129" s="21"/>
      <c r="D129" s="21"/>
    </row>
    <row r="130" spans="1:4" x14ac:dyDescent="0.25">
      <c r="A130" s="21"/>
      <c r="B130" s="21"/>
      <c r="C130" s="21"/>
      <c r="D130" s="21"/>
    </row>
    <row r="131" spans="1:4" x14ac:dyDescent="0.25">
      <c r="A131" s="21"/>
      <c r="B131" s="21"/>
      <c r="C131" s="21"/>
      <c r="D131" s="21"/>
    </row>
    <row r="132" spans="1:4" x14ac:dyDescent="0.25">
      <c r="A132" s="21"/>
      <c r="B132" s="21"/>
      <c r="C132" s="21"/>
      <c r="D132" s="21"/>
    </row>
    <row r="133" spans="1:4" x14ac:dyDescent="0.25">
      <c r="A133" s="21"/>
      <c r="B133" s="21"/>
      <c r="C133" s="21"/>
      <c r="D133" s="21"/>
    </row>
    <row r="134" spans="1:4" x14ac:dyDescent="0.25">
      <c r="A134" s="21"/>
      <c r="B134" s="21"/>
      <c r="C134" s="21"/>
      <c r="D134" s="21"/>
    </row>
    <row r="135" spans="1:4" x14ac:dyDescent="0.25">
      <c r="A135" s="21"/>
      <c r="B135" s="21"/>
      <c r="C135" s="21"/>
      <c r="D135" s="21"/>
    </row>
    <row r="136" spans="1:4" x14ac:dyDescent="0.25">
      <c r="A136" s="21"/>
      <c r="B136" s="21"/>
      <c r="C136" s="21"/>
      <c r="D136" s="21"/>
    </row>
    <row r="137" spans="1:4" x14ac:dyDescent="0.25">
      <c r="A137" s="21"/>
      <c r="B137" s="21"/>
      <c r="C137" s="21"/>
      <c r="D137" s="21"/>
    </row>
    <row r="138" spans="1:4" x14ac:dyDescent="0.25">
      <c r="A138" s="21"/>
      <c r="B138" s="21"/>
      <c r="C138" s="21"/>
      <c r="D138" s="21"/>
    </row>
    <row r="139" spans="1:4" x14ac:dyDescent="0.25">
      <c r="A139" s="21"/>
      <c r="B139" s="21"/>
      <c r="C139" s="21"/>
      <c r="D139" s="21"/>
    </row>
    <row r="140" spans="1:4" x14ac:dyDescent="0.25">
      <c r="A140" s="21"/>
      <c r="B140" s="21"/>
      <c r="C140" s="21"/>
      <c r="D140" s="21"/>
    </row>
    <row r="141" spans="1:4" x14ac:dyDescent="0.25">
      <c r="A141" s="21"/>
      <c r="B141" s="21"/>
      <c r="C141" s="21"/>
      <c r="D141" s="21"/>
    </row>
    <row r="142" spans="1:4" x14ac:dyDescent="0.25">
      <c r="A142" s="21"/>
      <c r="B142" s="21"/>
      <c r="C142" s="21"/>
      <c r="D142" s="21"/>
    </row>
    <row r="143" spans="1:4" x14ac:dyDescent="0.25">
      <c r="A143" s="21"/>
      <c r="B143" s="21"/>
      <c r="C143" s="21"/>
      <c r="D143" s="21"/>
    </row>
    <row r="144" spans="1:4" x14ac:dyDescent="0.25">
      <c r="A144" s="21"/>
      <c r="B144" s="21"/>
      <c r="C144" s="21"/>
      <c r="D144" s="21"/>
    </row>
    <row r="145" spans="1:4" x14ac:dyDescent="0.25">
      <c r="A145" s="21"/>
      <c r="B145" s="21"/>
      <c r="C145" s="21"/>
      <c r="D145" s="21"/>
    </row>
    <row r="146" spans="1:4" x14ac:dyDescent="0.25">
      <c r="A146" s="21"/>
      <c r="B146" s="21"/>
      <c r="C146" s="21"/>
      <c r="D146" s="21"/>
    </row>
    <row r="147" spans="1:4" x14ac:dyDescent="0.25">
      <c r="A147" s="21"/>
      <c r="B147" s="21"/>
      <c r="C147" s="21"/>
      <c r="D147" s="21"/>
    </row>
    <row r="148" spans="1:4" x14ac:dyDescent="0.25">
      <c r="A148" s="21"/>
      <c r="B148" s="21"/>
      <c r="C148" s="21"/>
      <c r="D148" s="21"/>
    </row>
    <row r="149" spans="1:4" x14ac:dyDescent="0.25">
      <c r="A149" s="21"/>
      <c r="B149" s="21"/>
      <c r="C149" s="21"/>
      <c r="D149" s="21"/>
    </row>
    <row r="150" spans="1:4" x14ac:dyDescent="0.25">
      <c r="A150" s="21"/>
      <c r="B150" s="21"/>
      <c r="C150" s="21"/>
      <c r="D150" s="21"/>
    </row>
    <row r="151" spans="1:4" x14ac:dyDescent="0.25">
      <c r="A151" s="21"/>
      <c r="B151" s="21"/>
      <c r="C151" s="21"/>
      <c r="D151" s="21"/>
    </row>
    <row r="152" spans="1:4" x14ac:dyDescent="0.25">
      <c r="A152" s="21"/>
      <c r="B152" s="21"/>
      <c r="C152" s="21"/>
      <c r="D152" s="21"/>
    </row>
    <row r="153" spans="1:4" x14ac:dyDescent="0.25">
      <c r="A153" s="21"/>
      <c r="B153" s="21"/>
      <c r="C153" s="21"/>
      <c r="D153" s="21"/>
    </row>
    <row r="154" spans="1:4" x14ac:dyDescent="0.25">
      <c r="A154" s="21"/>
      <c r="B154" s="21"/>
      <c r="C154" s="21"/>
      <c r="D154" s="21"/>
    </row>
    <row r="155" spans="1:4" x14ac:dyDescent="0.25">
      <c r="A155" s="21"/>
      <c r="B155" s="21"/>
      <c r="C155" s="21"/>
      <c r="D155" s="21"/>
    </row>
    <row r="156" spans="1:4" x14ac:dyDescent="0.25">
      <c r="A156" s="21"/>
      <c r="B156" s="21"/>
      <c r="C156" s="21"/>
      <c r="D156" s="21"/>
    </row>
    <row r="157" spans="1:4" x14ac:dyDescent="0.25">
      <c r="A157" s="21"/>
      <c r="B157" s="21"/>
      <c r="C157" s="21"/>
      <c r="D157" s="21"/>
    </row>
    <row r="158" spans="1:4" x14ac:dyDescent="0.25">
      <c r="A158" s="21"/>
      <c r="B158" s="21"/>
      <c r="C158" s="21"/>
      <c r="D158" s="21"/>
    </row>
    <row r="159" spans="1:4" x14ac:dyDescent="0.25">
      <c r="A159" s="21"/>
      <c r="B159" s="21"/>
      <c r="C159" s="21"/>
      <c r="D159" s="21"/>
    </row>
    <row r="160" spans="1:4" x14ac:dyDescent="0.25">
      <c r="A160" s="21"/>
      <c r="B160" s="21"/>
      <c r="C160" s="21"/>
      <c r="D160" s="21"/>
    </row>
    <row r="161" spans="1:4" x14ac:dyDescent="0.25">
      <c r="A161" s="21"/>
      <c r="B161" s="21"/>
      <c r="C161" s="21"/>
      <c r="D161" s="21"/>
    </row>
    <row r="162" spans="1:4" x14ac:dyDescent="0.25">
      <c r="A162" s="21"/>
      <c r="B162" s="21"/>
      <c r="C162" s="21"/>
      <c r="D162" s="21"/>
    </row>
    <row r="163" spans="1:4" x14ac:dyDescent="0.25">
      <c r="A163" s="21"/>
      <c r="B163" s="21"/>
      <c r="C163" s="21"/>
      <c r="D163" s="21"/>
    </row>
    <row r="164" spans="1:4" x14ac:dyDescent="0.25">
      <c r="A164" s="21"/>
      <c r="B164" s="21"/>
      <c r="C164" s="21"/>
      <c r="D164" s="21"/>
    </row>
    <row r="165" spans="1:4" x14ac:dyDescent="0.25">
      <c r="A165" s="21"/>
      <c r="B165" s="21"/>
      <c r="C165" s="21"/>
      <c r="D165" s="21"/>
    </row>
    <row r="166" spans="1:4" x14ac:dyDescent="0.25">
      <c r="A166" s="21"/>
      <c r="B166" s="21"/>
      <c r="C166" s="21"/>
      <c r="D166" s="21"/>
    </row>
    <row r="167" spans="1:4" x14ac:dyDescent="0.25">
      <c r="A167" s="21"/>
      <c r="B167" s="21"/>
      <c r="C167" s="21"/>
      <c r="D167" s="21"/>
    </row>
    <row r="168" spans="1:4" x14ac:dyDescent="0.25">
      <c r="A168" s="21"/>
      <c r="B168" s="21"/>
      <c r="C168" s="21"/>
      <c r="D168" s="21"/>
    </row>
    <row r="169" spans="1:4" x14ac:dyDescent="0.25">
      <c r="A169" s="21"/>
      <c r="B169" s="21"/>
      <c r="C169" s="21"/>
      <c r="D169" s="21"/>
    </row>
    <row r="170" spans="1:4" x14ac:dyDescent="0.25">
      <c r="A170" s="21"/>
      <c r="B170" s="21"/>
      <c r="C170" s="21"/>
      <c r="D170" s="21"/>
    </row>
    <row r="171" spans="1:4" x14ac:dyDescent="0.25">
      <c r="A171" s="21"/>
      <c r="B171" s="21"/>
      <c r="C171" s="21"/>
      <c r="D171" s="21"/>
    </row>
    <row r="172" spans="1:4" x14ac:dyDescent="0.25">
      <c r="A172" s="21"/>
      <c r="B172" s="21"/>
      <c r="C172" s="21"/>
      <c r="D172" s="21"/>
    </row>
    <row r="173" spans="1:4" x14ac:dyDescent="0.25">
      <c r="A173" s="21"/>
      <c r="B173" s="21"/>
      <c r="C173" s="21"/>
      <c r="D173" s="21"/>
    </row>
    <row r="174" spans="1:4" x14ac:dyDescent="0.25">
      <c r="A174" s="21"/>
      <c r="B174" s="21"/>
      <c r="C174" s="21"/>
      <c r="D174" s="21"/>
    </row>
    <row r="175" spans="1:4" x14ac:dyDescent="0.25">
      <c r="A175" s="21"/>
      <c r="B175" s="21"/>
      <c r="C175" s="21"/>
      <c r="D175" s="21"/>
    </row>
    <row r="176" spans="1:4" x14ac:dyDescent="0.25">
      <c r="A176" s="21"/>
      <c r="B176" s="21"/>
      <c r="C176" s="21"/>
      <c r="D176" s="21"/>
    </row>
    <row r="177" spans="1:4" x14ac:dyDescent="0.25">
      <c r="A177" s="21"/>
      <c r="B177" s="21"/>
      <c r="C177" s="21"/>
      <c r="D177" s="21"/>
    </row>
    <row r="178" spans="1:4" x14ac:dyDescent="0.25">
      <c r="A178" s="21"/>
      <c r="B178" s="21"/>
      <c r="C178" s="21"/>
      <c r="D178" s="21"/>
    </row>
    <row r="179" spans="1:4" x14ac:dyDescent="0.25">
      <c r="A179" s="21"/>
      <c r="B179" s="21"/>
      <c r="C179" s="21"/>
      <c r="D179" s="21"/>
    </row>
    <row r="180" spans="1:4" x14ac:dyDescent="0.25">
      <c r="A180" s="21"/>
      <c r="B180" s="21"/>
      <c r="C180" s="21"/>
      <c r="D180" s="21"/>
    </row>
    <row r="181" spans="1:4" x14ac:dyDescent="0.25">
      <c r="A181" s="21"/>
      <c r="B181" s="21"/>
      <c r="C181" s="21"/>
      <c r="D181" s="21"/>
    </row>
    <row r="182" spans="1:4" x14ac:dyDescent="0.25">
      <c r="A182" s="21"/>
      <c r="B182" s="21"/>
      <c r="C182" s="21"/>
      <c r="D182" s="21"/>
    </row>
    <row r="183" spans="1:4" x14ac:dyDescent="0.25">
      <c r="A183" s="21"/>
      <c r="B183" s="21"/>
      <c r="C183" s="21"/>
      <c r="D183" s="21"/>
    </row>
    <row r="184" spans="1:4" x14ac:dyDescent="0.25">
      <c r="A184" s="21"/>
      <c r="B184" s="21"/>
      <c r="C184" s="21"/>
      <c r="D184" s="21"/>
    </row>
    <row r="185" spans="1:4" x14ac:dyDescent="0.25">
      <c r="A185" s="21"/>
      <c r="B185" s="21"/>
      <c r="C185" s="21"/>
      <c r="D185" s="21"/>
    </row>
    <row r="186" spans="1:4" x14ac:dyDescent="0.25">
      <c r="A186" s="21"/>
      <c r="B186" s="21"/>
      <c r="C186" s="21"/>
      <c r="D186" s="21"/>
    </row>
    <row r="187" spans="1:4" x14ac:dyDescent="0.25">
      <c r="A187" s="21"/>
      <c r="B187" s="21"/>
      <c r="C187" s="21"/>
      <c r="D187" s="21"/>
    </row>
    <row r="188" spans="1:4" x14ac:dyDescent="0.25">
      <c r="A188" s="21"/>
      <c r="B188" s="21"/>
      <c r="C188" s="21"/>
      <c r="D188" s="21"/>
    </row>
    <row r="189" spans="1:4" x14ac:dyDescent="0.25">
      <c r="A189" s="21"/>
      <c r="B189" s="21"/>
      <c r="C189" s="21"/>
      <c r="D189" s="21"/>
    </row>
    <row r="190" spans="1:4" x14ac:dyDescent="0.25">
      <c r="A190" s="21"/>
      <c r="B190" s="21"/>
      <c r="C190" s="21"/>
      <c r="D190" s="21"/>
    </row>
    <row r="191" spans="1:4" x14ac:dyDescent="0.25">
      <c r="A191" s="21"/>
      <c r="B191" s="21"/>
      <c r="C191" s="21"/>
      <c r="D191" s="21"/>
    </row>
    <row r="192" spans="1:4" x14ac:dyDescent="0.25">
      <c r="A192" s="21"/>
      <c r="B192" s="21"/>
      <c r="C192" s="21"/>
      <c r="D192" s="21"/>
    </row>
    <row r="193" spans="1:4" x14ac:dyDescent="0.25">
      <c r="A193" s="21"/>
      <c r="B193" s="21"/>
      <c r="C193" s="21"/>
      <c r="D193" s="21"/>
    </row>
    <row r="194" spans="1:4" x14ac:dyDescent="0.25">
      <c r="A194" s="21"/>
      <c r="B194" s="21"/>
      <c r="C194" s="21"/>
      <c r="D194" s="21"/>
    </row>
    <row r="195" spans="1:4" x14ac:dyDescent="0.25">
      <c r="A195" s="21"/>
      <c r="B195" s="21"/>
      <c r="C195" s="21"/>
      <c r="D195" s="21"/>
    </row>
    <row r="196" spans="1:4" x14ac:dyDescent="0.25">
      <c r="A196" s="21"/>
      <c r="B196" s="21"/>
      <c r="C196" s="21"/>
      <c r="D196" s="21"/>
    </row>
    <row r="197" spans="1:4" x14ac:dyDescent="0.25">
      <c r="A197" s="21"/>
      <c r="B197" s="21"/>
      <c r="C197" s="21"/>
      <c r="D197" s="21"/>
    </row>
    <row r="198" spans="1:4" x14ac:dyDescent="0.25">
      <c r="A198" s="21"/>
      <c r="B198" s="21"/>
      <c r="C198" s="21"/>
      <c r="D198" s="21"/>
    </row>
    <row r="199" spans="1:4" x14ac:dyDescent="0.25">
      <c r="A199" s="21"/>
      <c r="B199" s="21"/>
      <c r="C199" s="21"/>
      <c r="D199" s="21"/>
    </row>
    <row r="200" spans="1:4" x14ac:dyDescent="0.25">
      <c r="A200" s="21"/>
      <c r="B200" s="21"/>
      <c r="C200" s="21"/>
      <c r="D200" s="21"/>
    </row>
    <row r="201" spans="1:4" x14ac:dyDescent="0.25">
      <c r="A201" s="21"/>
      <c r="B201" s="21"/>
      <c r="C201" s="21"/>
      <c r="D201" s="21"/>
    </row>
    <row r="202" spans="1:4" x14ac:dyDescent="0.25">
      <c r="A202" s="21"/>
      <c r="B202" s="21"/>
      <c r="C202" s="21"/>
      <c r="D202" s="21"/>
    </row>
    <row r="203" spans="1:4" x14ac:dyDescent="0.25">
      <c r="A203" s="21"/>
      <c r="B203" s="21"/>
      <c r="C203" s="21"/>
      <c r="D203" s="21"/>
    </row>
    <row r="204" spans="1:4" x14ac:dyDescent="0.25">
      <c r="A204" s="21"/>
      <c r="B204" s="21"/>
      <c r="C204" s="21"/>
      <c r="D204" s="21"/>
    </row>
    <row r="205" spans="1:4" x14ac:dyDescent="0.25">
      <c r="A205" s="21"/>
      <c r="B205" s="21"/>
      <c r="C205" s="21"/>
      <c r="D205" s="21"/>
    </row>
    <row r="206" spans="1:4" x14ac:dyDescent="0.25">
      <c r="A206" s="21"/>
      <c r="B206" s="21"/>
      <c r="C206" s="21"/>
      <c r="D206" s="21"/>
    </row>
    <row r="207" spans="1:4" x14ac:dyDescent="0.25">
      <c r="A207" s="21"/>
      <c r="B207" s="21"/>
      <c r="C207" s="21"/>
      <c r="D207" s="21"/>
    </row>
    <row r="208" spans="1:4" x14ac:dyDescent="0.25">
      <c r="A208" s="21"/>
      <c r="B208" s="21"/>
      <c r="C208" s="21"/>
      <c r="D208" s="21"/>
    </row>
    <row r="209" spans="1:4" x14ac:dyDescent="0.25">
      <c r="A209" s="21"/>
      <c r="B209" s="21"/>
      <c r="C209" s="21"/>
      <c r="D209" s="21"/>
    </row>
    <row r="210" spans="1:4" x14ac:dyDescent="0.25">
      <c r="A210" s="21"/>
      <c r="B210" s="21"/>
      <c r="C210" s="21"/>
      <c r="D210" s="21"/>
    </row>
    <row r="211" spans="1:4" x14ac:dyDescent="0.25">
      <c r="A211" s="21"/>
      <c r="B211" s="21"/>
      <c r="C211" s="21"/>
      <c r="D211" s="21"/>
    </row>
    <row r="212" spans="1:4" x14ac:dyDescent="0.25">
      <c r="A212" s="21"/>
      <c r="B212" s="21"/>
      <c r="C212" s="21"/>
      <c r="D212" s="21"/>
    </row>
    <row r="213" spans="1:4" x14ac:dyDescent="0.25">
      <c r="A213" s="21"/>
      <c r="B213" s="21"/>
      <c r="C213" s="21"/>
      <c r="D213" s="21"/>
    </row>
    <row r="214" spans="1:4" x14ac:dyDescent="0.25">
      <c r="A214" s="21"/>
      <c r="B214" s="21"/>
      <c r="C214" s="21"/>
      <c r="D214" s="21"/>
    </row>
    <row r="215" spans="1:4" x14ac:dyDescent="0.25">
      <c r="A215" s="21"/>
      <c r="B215" s="21"/>
      <c r="C215" s="21"/>
      <c r="D215" s="21"/>
    </row>
    <row r="216" spans="1:4" x14ac:dyDescent="0.25">
      <c r="A216" s="21"/>
      <c r="B216" s="21"/>
      <c r="C216" s="21"/>
      <c r="D216" s="21"/>
    </row>
    <row r="217" spans="1:4" x14ac:dyDescent="0.25">
      <c r="A217" s="21"/>
      <c r="B217" s="21"/>
      <c r="C217" s="21"/>
      <c r="D217" s="21"/>
    </row>
    <row r="218" spans="1:4" x14ac:dyDescent="0.25">
      <c r="A218" s="21"/>
      <c r="B218" s="21"/>
      <c r="C218" s="21"/>
      <c r="D218" s="21"/>
    </row>
    <row r="219" spans="1:4" x14ac:dyDescent="0.25">
      <c r="A219" s="21"/>
      <c r="B219" s="21"/>
      <c r="C219" s="21"/>
      <c r="D219" s="21"/>
    </row>
    <row r="220" spans="1:4" x14ac:dyDescent="0.25">
      <c r="A220" s="21"/>
      <c r="B220" s="21"/>
      <c r="C220" s="21"/>
      <c r="D220" s="21"/>
    </row>
    <row r="221" spans="1:4" x14ac:dyDescent="0.25">
      <c r="A221" s="21"/>
      <c r="B221" s="21"/>
      <c r="C221" s="21"/>
      <c r="D221" s="21"/>
    </row>
    <row r="222" spans="1:4" x14ac:dyDescent="0.25">
      <c r="A222" s="21"/>
      <c r="B222" s="21"/>
      <c r="C222" s="21"/>
      <c r="D222" s="21"/>
    </row>
    <row r="223" spans="1:4" x14ac:dyDescent="0.25">
      <c r="A223" s="21"/>
      <c r="B223" s="21"/>
      <c r="C223" s="21"/>
      <c r="D223" s="21"/>
    </row>
    <row r="224" spans="1:4" x14ac:dyDescent="0.25">
      <c r="A224" s="21"/>
      <c r="B224" s="21"/>
      <c r="C224" s="21"/>
      <c r="D224" s="21"/>
    </row>
    <row r="225" spans="1:4" x14ac:dyDescent="0.25">
      <c r="A225" s="21"/>
      <c r="B225" s="21"/>
      <c r="C225" s="21"/>
      <c r="D225" s="21"/>
    </row>
    <row r="226" spans="1:4" x14ac:dyDescent="0.25">
      <c r="A226" s="21"/>
      <c r="B226" s="21"/>
      <c r="C226" s="21"/>
      <c r="D226" s="21"/>
    </row>
    <row r="227" spans="1:4" x14ac:dyDescent="0.25">
      <c r="A227" s="21"/>
      <c r="B227" s="21"/>
      <c r="C227" s="21"/>
      <c r="D227" s="21"/>
    </row>
    <row r="228" spans="1:4" x14ac:dyDescent="0.25">
      <c r="A228" s="21"/>
      <c r="B228" s="21"/>
      <c r="C228" s="21"/>
      <c r="D228" s="21"/>
    </row>
    <row r="229" spans="1:4" x14ac:dyDescent="0.25">
      <c r="A229" s="21"/>
      <c r="B229" s="21"/>
      <c r="C229" s="21"/>
      <c r="D229" s="21"/>
    </row>
    <row r="230" spans="1:4" x14ac:dyDescent="0.25">
      <c r="A230" s="21"/>
      <c r="B230" s="21"/>
      <c r="C230" s="21"/>
      <c r="D230" s="21"/>
    </row>
    <row r="231" spans="1:4" x14ac:dyDescent="0.25">
      <c r="A231" s="21"/>
      <c r="B231" s="21"/>
      <c r="C231" s="21"/>
      <c r="D231" s="21"/>
    </row>
    <row r="232" spans="1:4" x14ac:dyDescent="0.25">
      <c r="A232" s="21"/>
      <c r="B232" s="21"/>
      <c r="C232" s="21"/>
      <c r="D232" s="21"/>
    </row>
    <row r="233" spans="1:4" x14ac:dyDescent="0.25">
      <c r="A233" s="21"/>
      <c r="B233" s="21"/>
      <c r="C233" s="21"/>
      <c r="D233" s="21"/>
    </row>
    <row r="234" spans="1:4" x14ac:dyDescent="0.25">
      <c r="A234" s="21"/>
      <c r="B234" s="21"/>
      <c r="C234" s="21"/>
      <c r="D234" s="21"/>
    </row>
    <row r="235" spans="1:4" x14ac:dyDescent="0.25">
      <c r="A235" s="21"/>
      <c r="B235" s="21"/>
      <c r="C235" s="21"/>
      <c r="D235" s="21"/>
    </row>
    <row r="236" spans="1:4" x14ac:dyDescent="0.25">
      <c r="A236" s="21"/>
      <c r="B236" s="21"/>
      <c r="C236" s="21"/>
      <c r="D236" s="21"/>
    </row>
    <row r="237" spans="1:4" x14ac:dyDescent="0.25">
      <c r="A237" s="21"/>
      <c r="B237" s="21"/>
      <c r="C237" s="21"/>
      <c r="D237" s="21"/>
    </row>
    <row r="238" spans="1:4" x14ac:dyDescent="0.25">
      <c r="A238" s="21"/>
      <c r="B238" s="21"/>
      <c r="C238" s="21"/>
      <c r="D238" s="21"/>
    </row>
    <row r="239" spans="1:4" x14ac:dyDescent="0.25">
      <c r="A239" s="21"/>
      <c r="B239" s="21"/>
      <c r="C239" s="21"/>
      <c r="D239" s="21"/>
    </row>
    <row r="240" spans="1:4" x14ac:dyDescent="0.25">
      <c r="A240" s="21"/>
      <c r="B240" s="21"/>
      <c r="C240" s="21"/>
      <c r="D240" s="21"/>
    </row>
    <row r="241" spans="1:4" x14ac:dyDescent="0.25">
      <c r="A241" s="21"/>
      <c r="B241" s="21"/>
      <c r="C241" s="21"/>
      <c r="D241" s="21"/>
    </row>
    <row r="242" spans="1:4" x14ac:dyDescent="0.25">
      <c r="A242" s="21"/>
      <c r="B242" s="21"/>
      <c r="C242" s="21"/>
      <c r="D242" s="21"/>
    </row>
    <row r="243" spans="1:4" x14ac:dyDescent="0.25">
      <c r="A243" s="21"/>
      <c r="B243" s="21"/>
      <c r="C243" s="21"/>
      <c r="D243" s="21"/>
    </row>
    <row r="244" spans="1:4" x14ac:dyDescent="0.25">
      <c r="A244" s="21"/>
      <c r="B244" s="21"/>
      <c r="C244" s="21"/>
      <c r="D244" s="21"/>
    </row>
    <row r="245" spans="1:4" x14ac:dyDescent="0.25">
      <c r="A245" s="21"/>
      <c r="B245" s="21"/>
      <c r="C245" s="21"/>
      <c r="D245" s="21"/>
    </row>
    <row r="246" spans="1:4" x14ac:dyDescent="0.25">
      <c r="A246" s="21"/>
      <c r="B246" s="21"/>
      <c r="C246" s="21"/>
      <c r="D246" s="21"/>
    </row>
    <row r="247" spans="1:4" x14ac:dyDescent="0.25">
      <c r="A247" s="21"/>
      <c r="B247" s="21"/>
      <c r="C247" s="21"/>
      <c r="D247" s="21"/>
    </row>
    <row r="248" spans="1:4" x14ac:dyDescent="0.25">
      <c r="A248" s="21"/>
      <c r="B248" s="21"/>
      <c r="C248" s="21"/>
      <c r="D248" s="21"/>
    </row>
    <row r="249" spans="1:4" x14ac:dyDescent="0.25">
      <c r="A249" s="21"/>
      <c r="B249" s="21"/>
      <c r="C249" s="21"/>
      <c r="D249" s="21"/>
    </row>
    <row r="250" spans="1:4" x14ac:dyDescent="0.25">
      <c r="A250" s="21"/>
      <c r="B250" s="21"/>
      <c r="C250" s="21"/>
      <c r="D250" s="21"/>
    </row>
    <row r="251" spans="1:4" x14ac:dyDescent="0.25">
      <c r="A251" s="21"/>
      <c r="B251" s="21"/>
      <c r="C251" s="21"/>
      <c r="D251" s="21"/>
    </row>
    <row r="252" spans="1:4" x14ac:dyDescent="0.25">
      <c r="A252" s="21"/>
      <c r="B252" s="21"/>
      <c r="C252" s="21"/>
      <c r="D252" s="21"/>
    </row>
    <row r="253" spans="1:4" x14ac:dyDescent="0.25">
      <c r="A253" s="21"/>
      <c r="B253" s="21"/>
      <c r="C253" s="21"/>
      <c r="D253" s="21"/>
    </row>
    <row r="254" spans="1:4" x14ac:dyDescent="0.25">
      <c r="A254" s="21"/>
      <c r="B254" s="21"/>
      <c r="C254" s="21"/>
      <c r="D254" s="21"/>
    </row>
    <row r="255" spans="1:4" x14ac:dyDescent="0.25">
      <c r="A255" s="21"/>
      <c r="B255" s="21"/>
      <c r="C255" s="21"/>
      <c r="D255" s="21"/>
    </row>
    <row r="256" spans="1:4" x14ac:dyDescent="0.25">
      <c r="A256" s="21"/>
      <c r="B256" s="21"/>
      <c r="C256" s="21"/>
      <c r="D256" s="21"/>
    </row>
    <row r="257" spans="1:4" x14ac:dyDescent="0.25">
      <c r="A257" s="21"/>
      <c r="B257" s="21"/>
      <c r="C257" s="21"/>
      <c r="D257" s="21"/>
    </row>
    <row r="258" spans="1:4" x14ac:dyDescent="0.25">
      <c r="A258" s="21"/>
      <c r="B258" s="21"/>
      <c r="C258" s="21"/>
      <c r="D258" s="21"/>
    </row>
    <row r="259" spans="1:4" x14ac:dyDescent="0.25">
      <c r="A259" s="21"/>
      <c r="B259" s="21"/>
      <c r="C259" s="21"/>
      <c r="D259" s="21"/>
    </row>
    <row r="260" spans="1:4" x14ac:dyDescent="0.25">
      <c r="A260" s="21"/>
      <c r="B260" s="21"/>
      <c r="C260" s="21"/>
      <c r="D260" s="21"/>
    </row>
    <row r="261" spans="1:4" x14ac:dyDescent="0.25">
      <c r="A261" s="21"/>
      <c r="B261" s="21"/>
      <c r="C261" s="21"/>
      <c r="D261" s="21"/>
    </row>
    <row r="262" spans="1:4" x14ac:dyDescent="0.25">
      <c r="A262" s="21"/>
      <c r="B262" s="21"/>
      <c r="C262" s="21"/>
      <c r="D262" s="21"/>
    </row>
    <row r="263" spans="1:4" x14ac:dyDescent="0.25">
      <c r="A263" s="21"/>
      <c r="B263" s="21"/>
      <c r="C263" s="21"/>
      <c r="D263" s="21"/>
    </row>
    <row r="264" spans="1:4" x14ac:dyDescent="0.25">
      <c r="A264" s="21"/>
      <c r="B264" s="21"/>
      <c r="C264" s="21"/>
      <c r="D264" s="21"/>
    </row>
    <row r="265" spans="1:4" x14ac:dyDescent="0.25">
      <c r="A265" s="21"/>
      <c r="B265" s="21"/>
      <c r="C265" s="21"/>
      <c r="D265" s="21"/>
    </row>
    <row r="266" spans="1:4" x14ac:dyDescent="0.25">
      <c r="A266" s="21"/>
      <c r="B266" s="21"/>
      <c r="C266" s="21"/>
      <c r="D266" s="21"/>
    </row>
    <row r="267" spans="1:4" x14ac:dyDescent="0.25">
      <c r="A267" s="21"/>
      <c r="B267" s="21"/>
      <c r="C267" s="21"/>
      <c r="D267" s="21"/>
    </row>
    <row r="268" spans="1:4" x14ac:dyDescent="0.25">
      <c r="A268" s="21"/>
      <c r="B268" s="21"/>
      <c r="C268" s="21"/>
      <c r="D268" s="21"/>
    </row>
    <row r="269" spans="1:4" x14ac:dyDescent="0.25">
      <c r="A269" s="21"/>
      <c r="B269" s="21"/>
      <c r="C269" s="21"/>
      <c r="D269" s="21"/>
    </row>
    <row r="270" spans="1:4" x14ac:dyDescent="0.25">
      <c r="A270" s="21"/>
      <c r="B270" s="21"/>
      <c r="C270" s="21"/>
      <c r="D270" s="21"/>
    </row>
    <row r="271" spans="1:4" x14ac:dyDescent="0.25">
      <c r="A271" s="21"/>
      <c r="B271" s="21"/>
      <c r="C271" s="21"/>
      <c r="D271" s="21"/>
    </row>
    <row r="272" spans="1:4" x14ac:dyDescent="0.25">
      <c r="A272" s="21"/>
      <c r="B272" s="21"/>
      <c r="C272" s="21"/>
      <c r="D272" s="21"/>
    </row>
    <row r="273" spans="1:4" x14ac:dyDescent="0.25">
      <c r="A273" s="21"/>
      <c r="B273" s="21"/>
      <c r="C273" s="21"/>
      <c r="D273" s="21"/>
    </row>
    <row r="274" spans="1:4" x14ac:dyDescent="0.25">
      <c r="A274" s="21"/>
      <c r="B274" s="21"/>
      <c r="C274" s="21"/>
      <c r="D274" s="21"/>
    </row>
    <row r="275" spans="1:4" x14ac:dyDescent="0.25">
      <c r="A275" s="21"/>
      <c r="B275" s="21"/>
      <c r="C275" s="21"/>
      <c r="D275" s="21"/>
    </row>
    <row r="276" spans="1:4" x14ac:dyDescent="0.25">
      <c r="A276" s="21"/>
      <c r="B276" s="21"/>
      <c r="C276" s="21"/>
      <c r="D276" s="21"/>
    </row>
    <row r="277" spans="1:4" x14ac:dyDescent="0.25">
      <c r="A277" s="21"/>
      <c r="B277" s="21"/>
      <c r="C277" s="21"/>
      <c r="D277" s="21"/>
    </row>
    <row r="278" spans="1:4" x14ac:dyDescent="0.25">
      <c r="A278" s="21"/>
      <c r="B278" s="21"/>
      <c r="C278" s="21"/>
      <c r="D278" s="21"/>
    </row>
    <row r="279" spans="1:4" x14ac:dyDescent="0.25">
      <c r="A279" s="21"/>
      <c r="B279" s="21"/>
      <c r="C279" s="21"/>
      <c r="D279" s="21"/>
    </row>
    <row r="280" spans="1:4" x14ac:dyDescent="0.25">
      <c r="A280" s="21"/>
      <c r="B280" s="21"/>
      <c r="C280" s="21"/>
      <c r="D280" s="21"/>
    </row>
    <row r="281" spans="1:4" x14ac:dyDescent="0.25">
      <c r="A281" s="21"/>
      <c r="B281" s="21"/>
      <c r="C281" s="21"/>
      <c r="D281" s="21"/>
    </row>
    <row r="282" spans="1:4" x14ac:dyDescent="0.25">
      <c r="A282" s="21"/>
      <c r="B282" s="21"/>
      <c r="C282" s="21"/>
      <c r="D282" s="21"/>
    </row>
    <row r="283" spans="1:4" x14ac:dyDescent="0.25">
      <c r="A283" s="21"/>
      <c r="B283" s="21"/>
      <c r="C283" s="21"/>
      <c r="D283" s="21"/>
    </row>
    <row r="284" spans="1:4" x14ac:dyDescent="0.25">
      <c r="A284" s="21"/>
      <c r="B284" s="21"/>
      <c r="C284" s="21"/>
      <c r="D284" s="21"/>
    </row>
    <row r="285" spans="1:4" x14ac:dyDescent="0.25">
      <c r="A285" s="21"/>
      <c r="B285" s="21"/>
      <c r="C285" s="21"/>
      <c r="D285" s="21"/>
    </row>
    <row r="286" spans="1:4" x14ac:dyDescent="0.25">
      <c r="A286" s="21"/>
      <c r="B286" s="21"/>
      <c r="C286" s="21"/>
      <c r="D286" s="21"/>
    </row>
    <row r="287" spans="1:4" x14ac:dyDescent="0.25">
      <c r="A287" s="21"/>
      <c r="B287" s="21"/>
      <c r="C287" s="21"/>
      <c r="D287" s="21"/>
    </row>
    <row r="288" spans="1:4" x14ac:dyDescent="0.25">
      <c r="A288" s="21"/>
      <c r="B288" s="21"/>
      <c r="C288" s="21"/>
      <c r="D288" s="21"/>
    </row>
    <row r="289" spans="1:4" x14ac:dyDescent="0.25">
      <c r="A289" s="21"/>
      <c r="B289" s="21"/>
      <c r="C289" s="21"/>
      <c r="D289" s="21"/>
    </row>
    <row r="290" spans="1:4" x14ac:dyDescent="0.25">
      <c r="A290" s="21"/>
      <c r="B290" s="21"/>
      <c r="C290" s="21"/>
      <c r="D290" s="21"/>
    </row>
    <row r="291" spans="1:4" x14ac:dyDescent="0.25">
      <c r="A291" s="21"/>
      <c r="B291" s="21"/>
      <c r="C291" s="21"/>
      <c r="D291" s="21"/>
    </row>
    <row r="292" spans="1:4" x14ac:dyDescent="0.25">
      <c r="A292" s="21"/>
      <c r="B292" s="21"/>
      <c r="C292" s="21"/>
      <c r="D292" s="21"/>
    </row>
    <row r="293" spans="1:4" x14ac:dyDescent="0.25">
      <c r="A293" s="21"/>
      <c r="B293" s="21"/>
      <c r="C293" s="21"/>
      <c r="D293" s="21"/>
    </row>
    <row r="294" spans="1:4" x14ac:dyDescent="0.25">
      <c r="A294" s="21"/>
      <c r="B294" s="21"/>
      <c r="C294" s="21"/>
      <c r="D294" s="21"/>
    </row>
    <row r="295" spans="1:4" x14ac:dyDescent="0.25">
      <c r="A295" s="21"/>
      <c r="B295" s="21"/>
      <c r="C295" s="21"/>
      <c r="D295" s="21"/>
    </row>
    <row r="296" spans="1:4" x14ac:dyDescent="0.25">
      <c r="A296" s="21"/>
      <c r="B296" s="21"/>
      <c r="C296" s="21"/>
      <c r="D296" s="21"/>
    </row>
    <row r="297" spans="1:4" x14ac:dyDescent="0.25">
      <c r="A297" s="21"/>
      <c r="B297" s="21"/>
      <c r="C297" s="21"/>
      <c r="D297" s="21"/>
    </row>
    <row r="298" spans="1:4" x14ac:dyDescent="0.25">
      <c r="A298" s="21"/>
      <c r="B298" s="21"/>
      <c r="C298" s="21"/>
      <c r="D298" s="21"/>
    </row>
    <row r="299" spans="1:4" x14ac:dyDescent="0.25">
      <c r="A299" s="21"/>
      <c r="B299" s="21"/>
      <c r="C299" s="21"/>
      <c r="D299" s="21"/>
    </row>
    <row r="300" spans="1:4" x14ac:dyDescent="0.25">
      <c r="A300" s="21"/>
      <c r="B300" s="21"/>
      <c r="C300" s="21"/>
      <c r="D300" s="21"/>
    </row>
    <row r="301" spans="1:4" x14ac:dyDescent="0.25">
      <c r="A301" s="21"/>
      <c r="B301" s="21"/>
      <c r="C301" s="21"/>
      <c r="D301" s="21"/>
    </row>
    <row r="302" spans="1:4" x14ac:dyDescent="0.25">
      <c r="A302" s="21"/>
      <c r="B302" s="21"/>
      <c r="C302" s="21"/>
      <c r="D302" s="21"/>
    </row>
    <row r="303" spans="1:4" x14ac:dyDescent="0.25">
      <c r="A303" s="21"/>
      <c r="B303" s="21"/>
      <c r="C303" s="21"/>
      <c r="D303" s="21"/>
    </row>
    <row r="304" spans="1:4" x14ac:dyDescent="0.25">
      <c r="A304" s="21"/>
      <c r="B304" s="21"/>
      <c r="C304" s="21"/>
      <c r="D304" s="21"/>
    </row>
    <row r="305" spans="1:4" x14ac:dyDescent="0.25">
      <c r="A305" s="21"/>
      <c r="B305" s="21"/>
      <c r="C305" s="21"/>
      <c r="D305" s="21"/>
    </row>
    <row r="306" spans="1:4" x14ac:dyDescent="0.25">
      <c r="A306" s="21"/>
      <c r="B306" s="21"/>
      <c r="C306" s="21"/>
      <c r="D306" s="21"/>
    </row>
    <row r="307" spans="1:4" x14ac:dyDescent="0.25">
      <c r="A307" s="21"/>
      <c r="B307" s="21"/>
      <c r="C307" s="21"/>
      <c r="D307" s="21"/>
    </row>
    <row r="308" spans="1:4" x14ac:dyDescent="0.25">
      <c r="A308" s="21"/>
      <c r="B308" s="21"/>
      <c r="C308" s="21"/>
      <c r="D308" s="21"/>
    </row>
    <row r="309" spans="1:4" x14ac:dyDescent="0.25">
      <c r="A309" s="21"/>
      <c r="B309" s="21"/>
      <c r="C309" s="21"/>
      <c r="D309" s="21"/>
    </row>
    <row r="310" spans="1:4" x14ac:dyDescent="0.25">
      <c r="A310" s="21"/>
      <c r="B310" s="21"/>
      <c r="C310" s="21"/>
      <c r="D310" s="21"/>
    </row>
    <row r="311" spans="1:4" x14ac:dyDescent="0.25">
      <c r="A311" s="21"/>
      <c r="B311" s="21"/>
      <c r="C311" s="21"/>
      <c r="D311" s="21"/>
    </row>
    <row r="312" spans="1:4" x14ac:dyDescent="0.25">
      <c r="A312" s="21"/>
      <c r="B312" s="21"/>
      <c r="C312" s="21"/>
      <c r="D312" s="21"/>
    </row>
    <row r="313" spans="1:4" x14ac:dyDescent="0.25">
      <c r="A313" s="21"/>
      <c r="B313" s="21"/>
      <c r="C313" s="21"/>
      <c r="D313" s="21"/>
    </row>
    <row r="314" spans="1:4" x14ac:dyDescent="0.25">
      <c r="A314" s="21"/>
      <c r="B314" s="21"/>
      <c r="C314" s="21"/>
      <c r="D314" s="21"/>
    </row>
    <row r="315" spans="1:4" x14ac:dyDescent="0.25">
      <c r="A315" s="21"/>
      <c r="B315" s="21"/>
      <c r="C315" s="21"/>
      <c r="D315" s="21"/>
    </row>
    <row r="316" spans="1:4" x14ac:dyDescent="0.25">
      <c r="A316" s="21"/>
      <c r="B316" s="21"/>
      <c r="C316" s="21"/>
      <c r="D316" s="21"/>
    </row>
    <row r="317" spans="1:4" x14ac:dyDescent="0.25">
      <c r="A317" s="21"/>
      <c r="B317" s="21"/>
      <c r="C317" s="21"/>
      <c r="D317" s="21"/>
    </row>
    <row r="318" spans="1:4" x14ac:dyDescent="0.25">
      <c r="A318" s="21"/>
      <c r="B318" s="21"/>
      <c r="C318" s="21"/>
      <c r="D318" s="21"/>
    </row>
    <row r="319" spans="1:4" x14ac:dyDescent="0.25">
      <c r="A319" s="21"/>
      <c r="B319" s="21"/>
      <c r="C319" s="21"/>
      <c r="D319" s="21"/>
    </row>
    <row r="320" spans="1:4" x14ac:dyDescent="0.25">
      <c r="A320" s="21"/>
      <c r="B320" s="21"/>
      <c r="C320" s="21"/>
      <c r="D320" s="21"/>
    </row>
    <row r="321" spans="1:4" x14ac:dyDescent="0.25">
      <c r="A321" s="21"/>
      <c r="B321" s="21"/>
      <c r="C321" s="21"/>
      <c r="D321" s="21"/>
    </row>
    <row r="322" spans="1:4" x14ac:dyDescent="0.25">
      <c r="A322" s="21"/>
      <c r="B322" s="21"/>
      <c r="C322" s="21"/>
      <c r="D322" s="21"/>
    </row>
    <row r="323" spans="1:4" x14ac:dyDescent="0.25">
      <c r="A323" s="21"/>
      <c r="B323" s="21"/>
      <c r="C323" s="21"/>
      <c r="D323" s="21"/>
    </row>
    <row r="324" spans="1:4" x14ac:dyDescent="0.25">
      <c r="A324" s="21"/>
      <c r="B324" s="21"/>
      <c r="C324" s="21"/>
      <c r="D324" s="21"/>
    </row>
    <row r="325" spans="1:4" x14ac:dyDescent="0.25">
      <c r="A325" s="21"/>
      <c r="B325" s="21"/>
      <c r="C325" s="21"/>
      <c r="D325" s="21"/>
    </row>
    <row r="326" spans="1:4" x14ac:dyDescent="0.25">
      <c r="A326" s="21"/>
      <c r="B326" s="21"/>
      <c r="C326" s="21"/>
      <c r="D326" s="21"/>
    </row>
    <row r="327" spans="1:4" x14ac:dyDescent="0.25">
      <c r="A327" s="21"/>
      <c r="B327" s="21"/>
      <c r="C327" s="21"/>
      <c r="D327" s="21"/>
    </row>
    <row r="328" spans="1:4" x14ac:dyDescent="0.25">
      <c r="A328" s="21"/>
      <c r="B328" s="21"/>
      <c r="C328" s="21"/>
      <c r="D328" s="21"/>
    </row>
    <row r="329" spans="1:4" x14ac:dyDescent="0.25">
      <c r="A329" s="21"/>
      <c r="B329" s="21"/>
      <c r="C329" s="21"/>
      <c r="D329" s="21"/>
    </row>
    <row r="330" spans="1:4" x14ac:dyDescent="0.25">
      <c r="A330" s="21"/>
      <c r="B330" s="21"/>
      <c r="C330" s="21"/>
      <c r="D330" s="21"/>
    </row>
    <row r="331" spans="1:4" x14ac:dyDescent="0.25">
      <c r="A331" s="21"/>
      <c r="B331" s="21"/>
      <c r="C331" s="21"/>
      <c r="D331" s="21"/>
    </row>
    <row r="332" spans="1:4" x14ac:dyDescent="0.25">
      <c r="A332" s="21"/>
      <c r="B332" s="21"/>
      <c r="C332" s="21"/>
      <c r="D332" s="21"/>
    </row>
    <row r="333" spans="1:4" x14ac:dyDescent="0.25">
      <c r="A333" s="21"/>
      <c r="B333" s="21"/>
      <c r="C333" s="21"/>
      <c r="D333" s="21"/>
    </row>
    <row r="334" spans="1:4" x14ac:dyDescent="0.25">
      <c r="A334" s="21"/>
      <c r="B334" s="21"/>
      <c r="C334" s="21"/>
      <c r="D334" s="21"/>
    </row>
    <row r="335" spans="1:4" x14ac:dyDescent="0.25">
      <c r="A335" s="21"/>
      <c r="B335" s="21"/>
      <c r="C335" s="21"/>
      <c r="D335" s="21"/>
    </row>
    <row r="336" spans="1:4" x14ac:dyDescent="0.25">
      <c r="A336" s="21"/>
      <c r="B336" s="21"/>
      <c r="C336" s="21"/>
      <c r="D336" s="21"/>
    </row>
    <row r="337" spans="1:4" x14ac:dyDescent="0.25">
      <c r="A337" s="21"/>
      <c r="B337" s="21"/>
      <c r="C337" s="21"/>
      <c r="D337" s="21"/>
    </row>
    <row r="338" spans="1:4" x14ac:dyDescent="0.25">
      <c r="A338" s="21"/>
      <c r="B338" s="21"/>
      <c r="C338" s="21"/>
      <c r="D338" s="21"/>
    </row>
    <row r="339" spans="1:4" x14ac:dyDescent="0.25">
      <c r="A339" s="21"/>
      <c r="B339" s="21"/>
      <c r="C339" s="21"/>
      <c r="D339" s="21"/>
    </row>
    <row r="340" spans="1:4" x14ac:dyDescent="0.25">
      <c r="A340" s="21"/>
      <c r="B340" s="21"/>
      <c r="C340" s="21"/>
      <c r="D340" s="21"/>
    </row>
    <row r="341" spans="1:4" x14ac:dyDescent="0.25">
      <c r="A341" s="21"/>
      <c r="B341" s="21"/>
      <c r="C341" s="21"/>
      <c r="D341" s="21"/>
    </row>
    <row r="342" spans="1:4" x14ac:dyDescent="0.25">
      <c r="A342" s="21"/>
      <c r="B342" s="21"/>
      <c r="C342" s="21"/>
      <c r="D342" s="21"/>
    </row>
    <row r="343" spans="1:4" x14ac:dyDescent="0.25">
      <c r="A343" s="21"/>
      <c r="B343" s="21"/>
      <c r="C343" s="21"/>
      <c r="D343" s="21"/>
    </row>
    <row r="344" spans="1:4" x14ac:dyDescent="0.25">
      <c r="A344" s="21"/>
      <c r="B344" s="21"/>
      <c r="C344" s="21"/>
      <c r="D344" s="21"/>
    </row>
    <row r="345" spans="1:4" x14ac:dyDescent="0.25">
      <c r="A345" s="21"/>
      <c r="B345" s="21"/>
      <c r="C345" s="21"/>
      <c r="D345" s="21"/>
    </row>
    <row r="346" spans="1:4" x14ac:dyDescent="0.25">
      <c r="A346" s="21"/>
      <c r="B346" s="21"/>
      <c r="C346" s="21"/>
      <c r="D346" s="21"/>
    </row>
    <row r="347" spans="1:4" x14ac:dyDescent="0.25">
      <c r="A347" s="21"/>
      <c r="B347" s="21"/>
      <c r="C347" s="21"/>
      <c r="D347" s="21"/>
    </row>
    <row r="348" spans="1:4" x14ac:dyDescent="0.25">
      <c r="A348" s="21"/>
      <c r="B348" s="21"/>
      <c r="C348" s="21"/>
      <c r="D348" s="21"/>
    </row>
    <row r="349" spans="1:4" x14ac:dyDescent="0.25">
      <c r="A349" s="21"/>
      <c r="B349" s="21"/>
      <c r="C349" s="21"/>
      <c r="D349" s="21"/>
    </row>
    <row r="350" spans="1:4" x14ac:dyDescent="0.25">
      <c r="A350" s="21"/>
      <c r="B350" s="21"/>
      <c r="C350" s="21"/>
      <c r="D350" s="21"/>
    </row>
    <row r="351" spans="1:4" x14ac:dyDescent="0.25">
      <c r="A351" s="21"/>
      <c r="B351" s="21"/>
      <c r="C351" s="21"/>
      <c r="D351" s="21"/>
    </row>
    <row r="352" spans="1:4" x14ac:dyDescent="0.25">
      <c r="A352" s="21"/>
      <c r="B352" s="21"/>
      <c r="C352" s="21"/>
      <c r="D352" s="21"/>
    </row>
    <row r="353" spans="1:4" x14ac:dyDescent="0.25">
      <c r="A353" s="21"/>
      <c r="B353" s="21"/>
      <c r="C353" s="21"/>
      <c r="D353" s="21"/>
    </row>
    <row r="354" spans="1:4" x14ac:dyDescent="0.25">
      <c r="A354" s="21"/>
      <c r="B354" s="21"/>
      <c r="C354" s="21"/>
      <c r="D354" s="21"/>
    </row>
    <row r="355" spans="1:4" x14ac:dyDescent="0.25">
      <c r="A355" s="21"/>
      <c r="B355" s="21"/>
      <c r="C355" s="21"/>
      <c r="D355" s="21"/>
    </row>
    <row r="356" spans="1:4" x14ac:dyDescent="0.25">
      <c r="A356" s="21"/>
      <c r="B356" s="21"/>
      <c r="C356" s="21"/>
      <c r="D356" s="21"/>
    </row>
    <row r="357" spans="1:4" x14ac:dyDescent="0.25">
      <c r="A357" s="21"/>
      <c r="B357" s="21"/>
      <c r="C357" s="21"/>
      <c r="D357" s="21"/>
    </row>
    <row r="358" spans="1:4" x14ac:dyDescent="0.25">
      <c r="A358" s="21"/>
      <c r="B358" s="21"/>
      <c r="C358" s="21"/>
      <c r="D358" s="21"/>
    </row>
    <row r="359" spans="1:4" x14ac:dyDescent="0.25">
      <c r="A359" s="21"/>
      <c r="B359" s="21"/>
      <c r="C359" s="21"/>
      <c r="D359" s="21"/>
    </row>
    <row r="360" spans="1:4" x14ac:dyDescent="0.25">
      <c r="A360" s="21"/>
      <c r="B360" s="21"/>
      <c r="C360" s="21"/>
      <c r="D360" s="21"/>
    </row>
    <row r="361" spans="1:4" x14ac:dyDescent="0.25">
      <c r="A361" s="21"/>
      <c r="B361" s="21"/>
      <c r="C361" s="21"/>
      <c r="D361" s="21"/>
    </row>
    <row r="362" spans="1:4" x14ac:dyDescent="0.25">
      <c r="A362" s="21"/>
      <c r="B362" s="21"/>
      <c r="C362" s="21"/>
      <c r="D362" s="21"/>
    </row>
    <row r="363" spans="1:4" x14ac:dyDescent="0.25">
      <c r="A363" s="21"/>
      <c r="B363" s="21"/>
      <c r="C363" s="21"/>
      <c r="D363" s="21"/>
    </row>
    <row r="364" spans="1:4" x14ac:dyDescent="0.25">
      <c r="A364" s="21"/>
      <c r="B364" s="21"/>
      <c r="C364" s="21"/>
      <c r="D364" s="21"/>
    </row>
    <row r="365" spans="1:4" x14ac:dyDescent="0.25">
      <c r="A365" s="21"/>
      <c r="B365" s="21"/>
      <c r="C365" s="21"/>
      <c r="D365" s="21"/>
    </row>
    <row r="366" spans="1:4" x14ac:dyDescent="0.25">
      <c r="A366" s="21"/>
      <c r="B366" s="21"/>
      <c r="C366" s="21"/>
      <c r="D366" s="21"/>
    </row>
    <row r="367" spans="1:4" x14ac:dyDescent="0.25">
      <c r="A367" s="21"/>
      <c r="B367" s="21"/>
      <c r="C367" s="21"/>
      <c r="D367" s="21"/>
    </row>
    <row r="368" spans="1:4" x14ac:dyDescent="0.25">
      <c r="A368" s="21"/>
      <c r="B368" s="21"/>
      <c r="C368" s="21"/>
      <c r="D368" s="21"/>
    </row>
    <row r="369" spans="1:4" x14ac:dyDescent="0.25">
      <c r="A369" s="21"/>
      <c r="B369" s="21"/>
      <c r="C369" s="21"/>
      <c r="D369" s="21"/>
    </row>
    <row r="370" spans="1:4" x14ac:dyDescent="0.25">
      <c r="A370" s="21"/>
      <c r="B370" s="21"/>
      <c r="C370" s="21"/>
      <c r="D370" s="21"/>
    </row>
    <row r="371" spans="1:4" x14ac:dyDescent="0.25">
      <c r="A371" s="21"/>
      <c r="B371" s="21"/>
      <c r="C371" s="21"/>
      <c r="D371" s="21"/>
    </row>
    <row r="372" spans="1:4" x14ac:dyDescent="0.25">
      <c r="A372" s="21"/>
      <c r="B372" s="21"/>
      <c r="C372" s="21"/>
      <c r="D372" s="21"/>
    </row>
    <row r="373" spans="1:4" x14ac:dyDescent="0.25">
      <c r="A373" s="21"/>
      <c r="B373" s="21"/>
      <c r="C373" s="21"/>
      <c r="D373" s="21"/>
    </row>
    <row r="374" spans="1:4" x14ac:dyDescent="0.25">
      <c r="A374" s="21"/>
      <c r="B374" s="21"/>
      <c r="C374" s="21"/>
      <c r="D374" s="21"/>
    </row>
    <row r="375" spans="1:4" x14ac:dyDescent="0.25">
      <c r="A375" s="21"/>
      <c r="B375" s="21"/>
      <c r="C375" s="21"/>
      <c r="D375" s="21"/>
    </row>
    <row r="376" spans="1:4" x14ac:dyDescent="0.25">
      <c r="A376" s="21"/>
      <c r="B376" s="21"/>
      <c r="C376" s="21"/>
      <c r="D376" s="21"/>
    </row>
    <row r="377" spans="1:4" x14ac:dyDescent="0.25">
      <c r="A377" s="21"/>
      <c r="B377" s="21"/>
      <c r="C377" s="21"/>
      <c r="D377" s="21"/>
    </row>
    <row r="378" spans="1:4" x14ac:dyDescent="0.25">
      <c r="A378" s="21"/>
      <c r="B378" s="21"/>
      <c r="C378" s="21"/>
      <c r="D378" s="21"/>
    </row>
    <row r="379" spans="1:4" x14ac:dyDescent="0.25">
      <c r="A379" s="21"/>
      <c r="B379" s="21"/>
      <c r="C379" s="21"/>
      <c r="D379" s="21"/>
    </row>
    <row r="380" spans="1:4" x14ac:dyDescent="0.25">
      <c r="A380" s="21"/>
      <c r="B380" s="21"/>
      <c r="C380" s="21"/>
      <c r="D380" s="21"/>
    </row>
    <row r="381" spans="1:4" x14ac:dyDescent="0.25">
      <c r="A381" s="21"/>
      <c r="B381" s="21"/>
      <c r="C381" s="21"/>
      <c r="D381" s="21"/>
    </row>
    <row r="382" spans="1:4" x14ac:dyDescent="0.25">
      <c r="A382" s="21"/>
      <c r="B382" s="21"/>
      <c r="C382" s="21"/>
      <c r="D382" s="21"/>
    </row>
    <row r="383" spans="1:4" x14ac:dyDescent="0.25">
      <c r="A383" s="21"/>
      <c r="B383" s="21"/>
      <c r="C383" s="21"/>
      <c r="D383" s="21"/>
    </row>
    <row r="384" spans="1:4" x14ac:dyDescent="0.25">
      <c r="A384" s="21"/>
      <c r="B384" s="21"/>
      <c r="C384" s="21"/>
      <c r="D384" s="21"/>
    </row>
    <row r="385" spans="1:4" x14ac:dyDescent="0.25">
      <c r="A385" s="21"/>
      <c r="B385" s="21"/>
      <c r="C385" s="21"/>
      <c r="D385" s="21"/>
    </row>
    <row r="386" spans="1:4" x14ac:dyDescent="0.25">
      <c r="A386" s="21"/>
      <c r="B386" s="21"/>
      <c r="C386" s="21"/>
      <c r="D386" s="21"/>
    </row>
    <row r="387" spans="1:4" x14ac:dyDescent="0.25">
      <c r="A387" s="21"/>
      <c r="B387" s="21"/>
      <c r="C387" s="21"/>
      <c r="D387" s="21"/>
    </row>
    <row r="388" spans="1:4" x14ac:dyDescent="0.25">
      <c r="A388" s="21"/>
      <c r="B388" s="21"/>
      <c r="C388" s="21"/>
      <c r="D388" s="21"/>
    </row>
    <row r="389" spans="1:4" x14ac:dyDescent="0.25">
      <c r="A389" s="21"/>
      <c r="B389" s="21"/>
      <c r="C389" s="21"/>
      <c r="D389" s="21"/>
    </row>
    <row r="390" spans="1:4" x14ac:dyDescent="0.25">
      <c r="A390" s="21"/>
      <c r="B390" s="21"/>
      <c r="C390" s="21"/>
      <c r="D390" s="21"/>
    </row>
    <row r="391" spans="1:4" x14ac:dyDescent="0.25">
      <c r="A391" s="21"/>
      <c r="B391" s="21"/>
      <c r="C391" s="21"/>
      <c r="D391" s="21"/>
    </row>
    <row r="392" spans="1:4" x14ac:dyDescent="0.25">
      <c r="A392" s="21"/>
      <c r="B392" s="21"/>
      <c r="C392" s="21"/>
      <c r="D392" s="21"/>
    </row>
    <row r="393" spans="1:4" x14ac:dyDescent="0.25">
      <c r="A393" s="21"/>
      <c r="B393" s="21"/>
      <c r="C393" s="21"/>
      <c r="D393" s="21"/>
    </row>
    <row r="394" spans="1:4" x14ac:dyDescent="0.25">
      <c r="A394" s="21"/>
      <c r="B394" s="21"/>
      <c r="C394" s="21"/>
      <c r="D394" s="21"/>
    </row>
    <row r="395" spans="1:4" x14ac:dyDescent="0.25">
      <c r="A395" s="21"/>
      <c r="B395" s="21"/>
      <c r="C395" s="21"/>
      <c r="D395" s="21"/>
    </row>
    <row r="396" spans="1:4" x14ac:dyDescent="0.25">
      <c r="A396" s="21"/>
      <c r="B396" s="21"/>
      <c r="C396" s="21"/>
      <c r="D396" s="21"/>
    </row>
    <row r="397" spans="1:4" x14ac:dyDescent="0.25">
      <c r="A397" s="21"/>
      <c r="B397" s="21"/>
      <c r="C397" s="21"/>
      <c r="D397" s="21"/>
    </row>
    <row r="398" spans="1:4" x14ac:dyDescent="0.25">
      <c r="A398" s="21"/>
      <c r="B398" s="21"/>
      <c r="C398" s="21"/>
      <c r="D398" s="21"/>
    </row>
    <row r="399" spans="1:4" x14ac:dyDescent="0.25">
      <c r="A399" s="21"/>
      <c r="B399" s="21"/>
      <c r="C399" s="21"/>
      <c r="D399" s="21"/>
    </row>
    <row r="400" spans="1:4" x14ac:dyDescent="0.25">
      <c r="A400" s="21"/>
      <c r="B400" s="21"/>
      <c r="C400" s="21"/>
      <c r="D400" s="21"/>
    </row>
    <row r="401" spans="1:4" x14ac:dyDescent="0.25">
      <c r="A401" s="21"/>
      <c r="B401" s="21"/>
      <c r="C401" s="21"/>
      <c r="D401" s="21"/>
    </row>
    <row r="402" spans="1:4" x14ac:dyDescent="0.25">
      <c r="A402" s="21"/>
      <c r="B402" s="21"/>
      <c r="C402" s="21"/>
      <c r="D402" s="21"/>
    </row>
    <row r="403" spans="1:4" x14ac:dyDescent="0.25">
      <c r="A403" s="21"/>
      <c r="B403" s="21"/>
      <c r="C403" s="21"/>
      <c r="D403" s="21"/>
    </row>
    <row r="404" spans="1:4" x14ac:dyDescent="0.25">
      <c r="A404" s="21"/>
      <c r="B404" s="21"/>
      <c r="C404" s="21"/>
      <c r="D404" s="21"/>
    </row>
    <row r="405" spans="1:4" x14ac:dyDescent="0.25">
      <c r="A405" s="21"/>
      <c r="B405" s="21"/>
      <c r="C405" s="21"/>
      <c r="D405" s="21"/>
    </row>
    <row r="406" spans="1:4" x14ac:dyDescent="0.25">
      <c r="A406" s="21"/>
      <c r="B406" s="21"/>
      <c r="C406" s="21"/>
      <c r="D406" s="21"/>
    </row>
    <row r="407" spans="1:4" x14ac:dyDescent="0.25">
      <c r="A407" s="21"/>
      <c r="B407" s="21"/>
      <c r="C407" s="21"/>
      <c r="D407" s="21"/>
    </row>
    <row r="408" spans="1:4" x14ac:dyDescent="0.25">
      <c r="A408" s="21"/>
      <c r="B408" s="21"/>
      <c r="C408" s="21"/>
      <c r="D408" s="21"/>
    </row>
    <row r="409" spans="1:4" x14ac:dyDescent="0.25">
      <c r="A409" s="21"/>
      <c r="B409" s="21"/>
      <c r="C409" s="21"/>
      <c r="D409" s="21"/>
    </row>
    <row r="410" spans="1:4" x14ac:dyDescent="0.25">
      <c r="A410" s="21"/>
      <c r="B410" s="21"/>
      <c r="C410" s="21"/>
      <c r="D410" s="21"/>
    </row>
    <row r="411" spans="1:4" x14ac:dyDescent="0.25">
      <c r="A411" s="21"/>
      <c r="B411" s="21"/>
      <c r="C411" s="21"/>
      <c r="D411" s="21"/>
    </row>
    <row r="412" spans="1:4" x14ac:dyDescent="0.25">
      <c r="A412" s="21"/>
      <c r="B412" s="21"/>
      <c r="C412" s="21"/>
      <c r="D412" s="21"/>
    </row>
    <row r="413" spans="1:4" x14ac:dyDescent="0.25">
      <c r="A413" s="21"/>
      <c r="B413" s="21"/>
      <c r="C413" s="21"/>
      <c r="D413" s="21"/>
    </row>
    <row r="414" spans="1:4" x14ac:dyDescent="0.25">
      <c r="A414" s="21"/>
      <c r="B414" s="21"/>
      <c r="C414" s="21"/>
      <c r="D414" s="21"/>
    </row>
    <row r="415" spans="1:4" x14ac:dyDescent="0.25">
      <c r="A415" s="21"/>
      <c r="B415" s="21"/>
      <c r="C415" s="21"/>
      <c r="D415" s="21"/>
    </row>
    <row r="416" spans="1:4" x14ac:dyDescent="0.25">
      <c r="A416" s="21"/>
      <c r="B416" s="21"/>
      <c r="C416" s="21"/>
      <c r="D416" s="21"/>
    </row>
    <row r="417" spans="1:4" x14ac:dyDescent="0.25">
      <c r="A417" s="21"/>
      <c r="B417" s="21"/>
      <c r="C417" s="21"/>
      <c r="D417" s="21"/>
    </row>
    <row r="418" spans="1:4" x14ac:dyDescent="0.25">
      <c r="A418" s="21"/>
      <c r="B418" s="21"/>
      <c r="C418" s="21"/>
      <c r="D418" s="21"/>
    </row>
    <row r="419" spans="1:4" x14ac:dyDescent="0.25">
      <c r="A419" s="21"/>
      <c r="B419" s="21"/>
      <c r="C419" s="21"/>
      <c r="D419" s="21"/>
    </row>
    <row r="420" spans="1:4" x14ac:dyDescent="0.25">
      <c r="A420" s="21"/>
      <c r="B420" s="21"/>
      <c r="C420" s="21"/>
      <c r="D420" s="21"/>
    </row>
    <row r="421" spans="1:4" x14ac:dyDescent="0.25">
      <c r="A421" s="21"/>
      <c r="B421" s="21"/>
      <c r="C421" s="21"/>
      <c r="D421" s="21"/>
    </row>
    <row r="422" spans="1:4" x14ac:dyDescent="0.25">
      <c r="A422" s="21"/>
      <c r="B422" s="21"/>
      <c r="C422" s="21"/>
      <c r="D422" s="21"/>
    </row>
    <row r="423" spans="1:4" x14ac:dyDescent="0.25">
      <c r="A423" s="21"/>
      <c r="B423" s="21"/>
      <c r="C423" s="21"/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>
      <selection sqref="A1:F19"/>
    </sheetView>
  </sheetViews>
  <sheetFormatPr defaultRowHeight="15" x14ac:dyDescent="0.25"/>
  <cols>
    <col min="1" max="1" width="9.140625" style="17"/>
    <col min="2" max="2" width="10.5703125" style="17" bestFit="1" customWidth="1"/>
    <col min="3" max="3" width="11.42578125" style="17" bestFit="1" customWidth="1"/>
    <col min="4" max="4" width="13.7109375" style="17" bestFit="1" customWidth="1"/>
    <col min="5" max="5" width="10.42578125" style="17" bestFit="1" customWidth="1"/>
    <col min="6" max="6" width="9.140625" style="17"/>
    <col min="7" max="16384" width="9.140625" style="1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15" x14ac:dyDescent="0.25">
      <c r="A2" s="17">
        <v>12628</v>
      </c>
      <c r="B2" s="17" t="s">
        <v>4</v>
      </c>
      <c r="C2" s="17" t="s">
        <v>41</v>
      </c>
      <c r="D2" s="17" t="s">
        <v>40</v>
      </c>
      <c r="E2" s="11">
        <v>0</v>
      </c>
      <c r="F2" s="21">
        <f>LOG10(10.3*10^5)</f>
        <v>6.012837224705172</v>
      </c>
      <c r="I2" s="23"/>
      <c r="J2" s="23"/>
      <c r="O2" s="23"/>
    </row>
    <row r="3" spans="1:15" x14ac:dyDescent="0.25">
      <c r="A3" s="17">
        <v>12628</v>
      </c>
      <c r="B3" s="17" t="s">
        <v>4</v>
      </c>
      <c r="C3" s="17" t="s">
        <v>41</v>
      </c>
      <c r="D3" s="17" t="s">
        <v>40</v>
      </c>
      <c r="E3" s="11">
        <v>0.5</v>
      </c>
      <c r="F3" s="21">
        <f>LOG10(1.28*10^5)</f>
        <v>5.1072099696478688</v>
      </c>
      <c r="I3" s="23"/>
      <c r="J3" s="23"/>
      <c r="O3" s="23"/>
    </row>
    <row r="4" spans="1:15" x14ac:dyDescent="0.25">
      <c r="A4" s="17">
        <v>12628</v>
      </c>
      <c r="B4" s="17" t="s">
        <v>4</v>
      </c>
      <c r="C4" s="17" t="s">
        <v>41</v>
      </c>
      <c r="D4" s="17" t="s">
        <v>40</v>
      </c>
      <c r="E4" s="11">
        <v>1</v>
      </c>
      <c r="F4" s="21">
        <f>LOG10(1.13*10^5)</f>
        <v>5.0530784434834199</v>
      </c>
      <c r="I4" s="23"/>
      <c r="J4" s="23"/>
      <c r="O4" s="23"/>
    </row>
    <row r="5" spans="1:15" x14ac:dyDescent="0.25">
      <c r="A5" s="17">
        <v>12628</v>
      </c>
      <c r="B5" s="17" t="s">
        <v>4</v>
      </c>
      <c r="C5" s="17" t="s">
        <v>41</v>
      </c>
      <c r="D5" s="17" t="s">
        <v>40</v>
      </c>
      <c r="E5" s="11">
        <v>2</v>
      </c>
      <c r="F5" s="21">
        <f>LOG10(1.03*10^4)</f>
        <v>4.012837224705172</v>
      </c>
      <c r="I5" s="23"/>
      <c r="J5" s="23"/>
      <c r="O5" s="23"/>
    </row>
    <row r="6" spans="1:15" x14ac:dyDescent="0.25">
      <c r="A6" s="17">
        <v>12628</v>
      </c>
      <c r="B6" s="17" t="s">
        <v>4</v>
      </c>
      <c r="C6" s="17" t="s">
        <v>41</v>
      </c>
      <c r="D6" s="17" t="s">
        <v>40</v>
      </c>
      <c r="E6" s="11">
        <v>3</v>
      </c>
      <c r="F6" s="21">
        <f>LOG10(2.35*10^4)</f>
        <v>4.3710678622717358</v>
      </c>
      <c r="I6" s="23"/>
      <c r="J6" s="23"/>
    </row>
    <row r="7" spans="1:15" x14ac:dyDescent="0.25">
      <c r="A7" s="17">
        <v>12628</v>
      </c>
      <c r="B7" s="17" t="s">
        <v>4</v>
      </c>
      <c r="C7" s="17" t="s">
        <v>41</v>
      </c>
      <c r="D7" s="17" t="s">
        <v>40</v>
      </c>
      <c r="E7" s="11">
        <v>4</v>
      </c>
      <c r="F7" s="21">
        <f>LOG10(5.65*10^4)</f>
        <v>4.7520484478194387</v>
      </c>
    </row>
    <row r="8" spans="1:15" x14ac:dyDescent="0.25">
      <c r="A8" s="17">
        <v>12628</v>
      </c>
      <c r="B8" s="17" t="s">
        <v>5</v>
      </c>
      <c r="C8" s="17" t="s">
        <v>41</v>
      </c>
      <c r="D8" s="17" t="s">
        <v>40</v>
      </c>
      <c r="E8" s="11">
        <v>0</v>
      </c>
      <c r="F8" s="21">
        <f>LOG10(7*10^5)</f>
        <v>5.8450980400142569</v>
      </c>
    </row>
    <row r="9" spans="1:15" x14ac:dyDescent="0.25">
      <c r="A9" s="17">
        <v>12628</v>
      </c>
      <c r="B9" s="17" t="s">
        <v>5</v>
      </c>
      <c r="C9" s="17" t="s">
        <v>41</v>
      </c>
      <c r="D9" s="17" t="s">
        <v>40</v>
      </c>
      <c r="E9" s="11">
        <v>0.5</v>
      </c>
      <c r="F9" s="21">
        <f>LOG10(1.77*10^4)</f>
        <v>4.2479732663618064</v>
      </c>
    </row>
    <row r="10" spans="1:15" x14ac:dyDescent="0.25">
      <c r="A10" s="17">
        <v>12628</v>
      </c>
      <c r="B10" s="17" t="s">
        <v>5</v>
      </c>
      <c r="C10" s="17" t="s">
        <v>41</v>
      </c>
      <c r="D10" s="17" t="s">
        <v>40</v>
      </c>
      <c r="E10" s="11">
        <v>1</v>
      </c>
      <c r="F10" s="21">
        <f>LOG10(1.47*10^4)</f>
        <v>4.1673173347481764</v>
      </c>
    </row>
    <row r="11" spans="1:15" x14ac:dyDescent="0.25">
      <c r="A11" s="17">
        <v>12628</v>
      </c>
      <c r="B11" s="17" t="s">
        <v>5</v>
      </c>
      <c r="C11" s="17" t="s">
        <v>41</v>
      </c>
      <c r="D11" s="17" t="s">
        <v>40</v>
      </c>
      <c r="E11" s="11">
        <v>2</v>
      </c>
      <c r="F11" s="21">
        <f>LOG10(3.7*10^4)</f>
        <v>4.568201724066995</v>
      </c>
    </row>
    <row r="12" spans="1:15" x14ac:dyDescent="0.25">
      <c r="A12" s="17">
        <v>12628</v>
      </c>
      <c r="B12" s="17" t="s">
        <v>5</v>
      </c>
      <c r="C12" s="17" t="s">
        <v>41</v>
      </c>
      <c r="D12" s="17" t="s">
        <v>40</v>
      </c>
      <c r="E12" s="11">
        <v>3</v>
      </c>
      <c r="F12" s="21">
        <f>LOG10(10.85*10^3)</f>
        <v>4.0354297381845488</v>
      </c>
    </row>
    <row r="13" spans="1:15" x14ac:dyDescent="0.25">
      <c r="A13" s="17">
        <v>12628</v>
      </c>
      <c r="B13" s="17" t="s">
        <v>5</v>
      </c>
      <c r="C13" s="17" t="s">
        <v>41</v>
      </c>
      <c r="D13" s="17" t="s">
        <v>40</v>
      </c>
      <c r="E13" s="11">
        <v>4</v>
      </c>
      <c r="F13" s="21">
        <f>LOG10(1.1*10^4)</f>
        <v>4.0413926851582254</v>
      </c>
    </row>
    <row r="14" spans="1:15" x14ac:dyDescent="0.25">
      <c r="A14" s="17">
        <v>12628</v>
      </c>
      <c r="B14" s="17" t="s">
        <v>6</v>
      </c>
      <c r="C14" s="17" t="s">
        <v>41</v>
      </c>
      <c r="D14" s="17" t="s">
        <v>40</v>
      </c>
      <c r="E14" s="11">
        <v>0</v>
      </c>
      <c r="F14" s="21">
        <f>LOG10(5.7*10^5)</f>
        <v>5.7558748556724915</v>
      </c>
    </row>
    <row r="15" spans="1:15" x14ac:dyDescent="0.25">
      <c r="A15" s="17">
        <v>12628</v>
      </c>
      <c r="B15" s="17" t="s">
        <v>6</v>
      </c>
      <c r="C15" s="17" t="s">
        <v>41</v>
      </c>
      <c r="D15" s="17" t="s">
        <v>40</v>
      </c>
      <c r="E15" s="11">
        <v>0.5</v>
      </c>
      <c r="F15" s="21">
        <f>LOG10(2.1*10^4)</f>
        <v>4.3222192947339195</v>
      </c>
    </row>
    <row r="16" spans="1:15" x14ac:dyDescent="0.25">
      <c r="A16" s="17">
        <v>12628</v>
      </c>
      <c r="B16" s="17" t="s">
        <v>6</v>
      </c>
      <c r="C16" s="17" t="s">
        <v>41</v>
      </c>
      <c r="D16" s="17" t="s">
        <v>40</v>
      </c>
      <c r="E16" s="11">
        <v>1</v>
      </c>
      <c r="F16" s="21">
        <f>LOG10(2.33*10^4)</f>
        <v>4.3673559210260189</v>
      </c>
    </row>
    <row r="17" spans="1:6" x14ac:dyDescent="0.25">
      <c r="A17" s="17">
        <v>12628</v>
      </c>
      <c r="B17" s="17" t="s">
        <v>6</v>
      </c>
      <c r="C17" s="17" t="s">
        <v>41</v>
      </c>
      <c r="D17" s="17" t="s">
        <v>40</v>
      </c>
      <c r="E17" s="11">
        <v>2</v>
      </c>
      <c r="F17" s="21">
        <f>LOG10(1.5*10^4)</f>
        <v>4.1760912590556813</v>
      </c>
    </row>
    <row r="18" spans="1:6" x14ac:dyDescent="0.25">
      <c r="A18" s="17">
        <v>12628</v>
      </c>
      <c r="B18" s="17" t="s">
        <v>6</v>
      </c>
      <c r="C18" s="17" t="s">
        <v>41</v>
      </c>
      <c r="D18" s="17" t="s">
        <v>40</v>
      </c>
      <c r="E18" s="11">
        <v>3</v>
      </c>
      <c r="F18" s="21">
        <f>LOG10(7.35*10^3)</f>
        <v>3.8662873390841948</v>
      </c>
    </row>
    <row r="19" spans="1:6" x14ac:dyDescent="0.25">
      <c r="A19" s="17">
        <v>12628</v>
      </c>
      <c r="B19" s="17" t="s">
        <v>6</v>
      </c>
      <c r="C19" s="17" t="s">
        <v>41</v>
      </c>
      <c r="D19" s="17" t="s">
        <v>40</v>
      </c>
      <c r="E19" s="11">
        <v>4</v>
      </c>
      <c r="F19" s="21">
        <f>LOG10(10.15*10^3)</f>
        <v>4.0064660422492313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3.285156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5.6334684555795862</v>
      </c>
      <c r="C2" s="11">
        <f t="shared" ref="C2:C19" si="0" xml:space="preserve"> LOG((10^$G$5 - 10^$G$4) * EXP(-$G$3 *A2 )  + 10^$G$4)</f>
        <v>5.4281122763948568</v>
      </c>
      <c r="D2" s="11">
        <f t="shared" ref="D2:D19" si="1" xml:space="preserve"> (B2 - C2)^2</f>
        <v>4.2171160329350678E-2</v>
      </c>
      <c r="E2" s="5"/>
      <c r="F2" s="5"/>
      <c r="G2" s="22"/>
      <c r="H2" s="22"/>
      <c r="I2" s="5"/>
      <c r="J2" s="5"/>
      <c r="K2" s="5"/>
      <c r="L2" s="6" t="s">
        <v>20</v>
      </c>
      <c r="M2" s="22">
        <v>0.1309370129604793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4.9190780923760737</v>
      </c>
      <c r="C3" s="11">
        <f t="shared" si="0"/>
        <v>5.0217336450018575</v>
      </c>
      <c r="D3" s="11">
        <f t="shared" si="1"/>
        <v>1.0538162484905056E-2</v>
      </c>
      <c r="E3" s="5"/>
      <c r="F3" s="20" t="s">
        <v>13</v>
      </c>
      <c r="G3" s="26">
        <v>1.9394980441323255</v>
      </c>
      <c r="H3" s="26">
        <v>0.5453098746091265</v>
      </c>
      <c r="I3" s="5"/>
      <c r="J3" s="5"/>
      <c r="K3" s="5"/>
      <c r="L3" s="6" t="s">
        <v>23</v>
      </c>
      <c r="M3" s="22">
        <f>SQRT(M2)</f>
        <v>0.3618521976725847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4.3074960379132126</v>
      </c>
      <c r="C4" s="11">
        <f t="shared" si="0"/>
        <v>4.637298029437364</v>
      </c>
      <c r="D4" s="11">
        <f t="shared" si="1"/>
        <v>0.10876935361329647</v>
      </c>
      <c r="E4" s="5"/>
      <c r="F4" s="20" t="s">
        <v>30</v>
      </c>
      <c r="G4" s="26">
        <v>3.7532304956128115</v>
      </c>
      <c r="H4" s="26">
        <v>0.17427908573771955</v>
      </c>
      <c r="I4" s="5"/>
      <c r="J4" s="5"/>
      <c r="K4" s="5"/>
      <c r="L4" s="6" t="s">
        <v>21</v>
      </c>
      <c r="M4" s="22">
        <v>0.789636627909168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4.7993405494535821</v>
      </c>
      <c r="C5" s="11">
        <f t="shared" si="0"/>
        <v>4.0448523956434794</v>
      </c>
      <c r="D5" s="11">
        <f t="shared" si="1"/>
        <v>0.56925237423977715</v>
      </c>
      <c r="E5" s="5"/>
      <c r="F5" s="20" t="s">
        <v>14</v>
      </c>
      <c r="G5" s="26">
        <v>5.4281122763948559</v>
      </c>
      <c r="H5" s="26">
        <v>0.1758400265785551</v>
      </c>
      <c r="I5" s="5"/>
      <c r="J5" s="5"/>
      <c r="K5" s="5"/>
      <c r="L5" s="6" t="s">
        <v>22</v>
      </c>
      <c r="M5" s="22">
        <v>0.76158817829705705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4.0211892990699383</v>
      </c>
      <c r="C6" s="11">
        <f t="shared" si="0"/>
        <v>3.8092253708641661</v>
      </c>
      <c r="D6" s="11">
        <f t="shared" si="1"/>
        <v>4.4928706860421726E-2</v>
      </c>
      <c r="E6" s="5"/>
      <c r="F6" s="5"/>
      <c r="G6" s="22"/>
      <c r="H6" s="22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3.1254812657005941</v>
      </c>
      <c r="C7" s="11">
        <f t="shared" si="0"/>
        <v>3.761739364168402</v>
      </c>
      <c r="D7" s="11">
        <f t="shared" si="1"/>
        <v>0.40482436786587073</v>
      </c>
      <c r="E7" s="5"/>
      <c r="F7" s="4" t="s">
        <v>24</v>
      </c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5.6989700043360187</v>
      </c>
      <c r="C8" s="11">
        <f t="shared" si="0"/>
        <v>5.4281122763948568</v>
      </c>
      <c r="D8" s="11">
        <f t="shared" si="1"/>
        <v>7.3363908785448489E-2</v>
      </c>
      <c r="E8" s="5"/>
      <c r="F8" s="5" t="s">
        <v>31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4.8450980400142569</v>
      </c>
      <c r="C9" s="11">
        <f t="shared" si="0"/>
        <v>5.0217336450018575</v>
      </c>
      <c r="D9" s="11">
        <f t="shared" si="1"/>
        <v>3.1200136949335659E-2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4.6720978579357171</v>
      </c>
      <c r="C10" s="11">
        <f t="shared" si="0"/>
        <v>4.637298029437364</v>
      </c>
      <c r="D10" s="11">
        <f t="shared" si="1"/>
        <v>1.2110280635147857E-3</v>
      </c>
      <c r="E10" s="5"/>
      <c r="F10" s="5" t="s">
        <v>32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4.0530784434834199</v>
      </c>
      <c r="C11" s="11">
        <f t="shared" si="0"/>
        <v>4.0448523956434794</v>
      </c>
      <c r="D11" s="11">
        <f t="shared" si="1"/>
        <v>6.7667863064990096E-5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3.7118072290411912</v>
      </c>
      <c r="C12" s="11">
        <f t="shared" si="0"/>
        <v>3.8092253708641661</v>
      </c>
      <c r="D12" s="11">
        <f t="shared" si="1"/>
        <v>9.4902943562412568E-3</v>
      </c>
      <c r="E12" s="5"/>
      <c r="F12" s="29" t="s">
        <v>27</v>
      </c>
      <c r="G12" s="30"/>
      <c r="H12" s="30"/>
      <c r="I12" s="30"/>
      <c r="J12" s="30"/>
      <c r="K12" s="30"/>
      <c r="L12" s="30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3.4232458739368079</v>
      </c>
      <c r="C13" s="11">
        <f t="shared" si="0"/>
        <v>3.761739364168402</v>
      </c>
      <c r="D13" s="11">
        <f t="shared" si="1"/>
        <v>0.11457784292916631</v>
      </c>
      <c r="E13" s="5"/>
      <c r="F13" s="30"/>
      <c r="G13" s="30"/>
      <c r="H13" s="30"/>
      <c r="I13" s="30"/>
      <c r="J13" s="30"/>
      <c r="K13" s="30"/>
      <c r="L13" s="30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5.6989700043360187</v>
      </c>
      <c r="C14" s="11">
        <f t="shared" si="0"/>
        <v>5.4281122763948568</v>
      </c>
      <c r="D14" s="11">
        <f t="shared" si="1"/>
        <v>7.3363908785448489E-2</v>
      </c>
      <c r="E14" s="5"/>
      <c r="F14" s="30"/>
      <c r="G14" s="30"/>
      <c r="H14" s="30"/>
      <c r="I14" s="30"/>
      <c r="J14" s="30"/>
      <c r="K14" s="30"/>
      <c r="L14" s="30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4.6989700043360187</v>
      </c>
      <c r="C15" s="11">
        <f t="shared" si="0"/>
        <v>5.0217336450018575</v>
      </c>
      <c r="D15" s="11">
        <f t="shared" si="1"/>
        <v>0.10417636773586667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4.238046103128795</v>
      </c>
      <c r="C16" s="11">
        <f t="shared" si="0"/>
        <v>4.637298029437364</v>
      </c>
      <c r="D16" s="11">
        <f t="shared" si="1"/>
        <v>0.159402100661103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4.1553360374650614</v>
      </c>
      <c r="C17" s="11">
        <f t="shared" si="0"/>
        <v>4.0448523956434794</v>
      </c>
      <c r="D17" s="11">
        <f t="shared" si="1"/>
        <v>1.2206635110159621E-2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3.9030899869919438</v>
      </c>
      <c r="C18" s="11">
        <f t="shared" si="0"/>
        <v>3.8092253708641661</v>
      </c>
      <c r="D18" s="11">
        <f t="shared" si="1"/>
        <v>8.8105661608150528E-3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4.204119982655925</v>
      </c>
      <c r="C19" s="11">
        <f t="shared" si="0"/>
        <v>3.761739364168402</v>
      </c>
      <c r="D19" s="11">
        <f t="shared" si="1"/>
        <v>0.19570061161340335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1.9640551944071896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 xml:space="preserve"> LOG((10^$G$5 - 10^$G$4) * EXP(-$G$3 *A23 )  + 10^$G$4)</f>
        <v>5.4281122763948568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0.04</v>
      </c>
      <c r="B24" s="21"/>
      <c r="C24" s="21">
        <f t="shared" ref="C24:C87" si="2" xml:space="preserve"> LOG((10^$G$5 - 10^$G$4) * EXP(-$G$3 *A24 )  + 10^$G$4)</f>
        <v>5.3951597534327229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0.08</v>
      </c>
      <c r="B25" s="21"/>
      <c r="C25" s="21">
        <f t="shared" si="2"/>
        <v>5.3622655108923132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0.12</v>
      </c>
      <c r="B26" s="21"/>
      <c r="C26" s="21">
        <f t="shared" si="2"/>
        <v>5.3294340187382181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0.16</v>
      </c>
      <c r="B27" s="21"/>
      <c r="C27" s="21">
        <f t="shared" si="2"/>
        <v>5.2966700702238123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0.2</v>
      </c>
      <c r="B28" s="21"/>
      <c r="C28" s="21">
        <f t="shared" si="2"/>
        <v>5.2639788021006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0.24000000000000002</v>
      </c>
      <c r="B29" s="21"/>
      <c r="C29" s="21">
        <f t="shared" si="2"/>
        <v>5.2313657155694173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0.28000000000000003</v>
      </c>
      <c r="B30" s="21"/>
      <c r="C30" s="21">
        <f t="shared" si="2"/>
        <v>5.1988366979077067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0.32</v>
      </c>
      <c r="B31" s="21"/>
      <c r="C31" s="21">
        <f t="shared" si="2"/>
        <v>5.1663980446862396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0.36</v>
      </c>
      <c r="B32" s="21"/>
      <c r="C32" s="21">
        <f t="shared" si="2"/>
        <v>5.1340564824646977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0.39999999999999997</v>
      </c>
      <c r="B33" s="21"/>
      <c r="C33" s="21">
        <f t="shared" si="2"/>
        <v>5.1018191918283371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0.43999999999999995</v>
      </c>
      <c r="B34" s="21"/>
      <c r="C34" s="21">
        <f t="shared" si="2"/>
        <v>5.0696938305972541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0.47999999999999993</v>
      </c>
      <c r="B35" s="21"/>
      <c r="C35" s="21">
        <f t="shared" si="2"/>
        <v>5.0376885570054561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0.51999999999999991</v>
      </c>
      <c r="B36" s="21"/>
      <c r="C36" s="21">
        <f t="shared" si="2"/>
        <v>5.0058120526089507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0.55999999999999994</v>
      </c>
      <c r="B37" s="21"/>
      <c r="C37" s="21">
        <f t="shared" si="2"/>
        <v>4.9740735446403699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0.6</v>
      </c>
      <c r="B38" s="21"/>
      <c r="C38" s="21">
        <f t="shared" si="2"/>
        <v>4.9424828274824266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0.64</v>
      </c>
      <c r="B39" s="21"/>
      <c r="C39" s="21">
        <f t="shared" si="2"/>
        <v>4.9110502828840437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0.68</v>
      </c>
      <c r="B40" s="21"/>
      <c r="C40" s="21">
        <f t="shared" si="2"/>
        <v>4.8797868984917461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0.72000000000000008</v>
      </c>
      <c r="B41" s="21"/>
      <c r="C41" s="21">
        <f t="shared" si="2"/>
        <v>4.8487042842156018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0.76000000000000012</v>
      </c>
      <c r="B42" s="21"/>
      <c r="C42" s="21">
        <f t="shared" si="2"/>
        <v>4.817814685894632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0.80000000000000016</v>
      </c>
      <c r="B43" s="21"/>
      <c r="C43" s="21">
        <f t="shared" si="2"/>
        <v>4.787130995672376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0.84000000000000019</v>
      </c>
      <c r="B44" s="21"/>
      <c r="C44" s="21">
        <f t="shared" si="2"/>
        <v>4.7566667584409368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0.88000000000000023</v>
      </c>
      <c r="B45" s="21"/>
      <c r="C45" s="21">
        <f t="shared" si="2"/>
        <v>4.7264361736632328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0.92000000000000026</v>
      </c>
      <c r="B46" s="21"/>
      <c r="C46" s="21">
        <f t="shared" si="2"/>
        <v>4.6964540918408124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0.9600000000000003</v>
      </c>
      <c r="B47" s="21"/>
      <c r="C47" s="21">
        <f t="shared" si="2"/>
        <v>4.6667360048611801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1.0000000000000002</v>
      </c>
      <c r="B48" s="21"/>
      <c r="C48" s="21">
        <f t="shared" si="2"/>
        <v>4.637298029437364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1.0400000000000003</v>
      </c>
      <c r="B49" s="21"/>
      <c r="C49" s="21">
        <f t="shared" si="2"/>
        <v>4.6081568828468553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1.0800000000000003</v>
      </c>
      <c r="B50" s="21"/>
      <c r="C50" s="21">
        <f t="shared" si="2"/>
        <v>4.5793298501909003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1.1200000000000003</v>
      </c>
      <c r="B51" s="21"/>
      <c r="C51" s="21">
        <f t="shared" si="2"/>
        <v>4.5508347424322535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1.1600000000000004</v>
      </c>
      <c r="B52" s="21"/>
      <c r="C52" s="21">
        <f t="shared" si="2"/>
        <v>4.5226898445337582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1.2000000000000004</v>
      </c>
      <c r="B53" s="21"/>
      <c r="C53" s="21">
        <f t="shared" si="2"/>
        <v>4.4949138531151602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1.2400000000000004</v>
      </c>
      <c r="B54" s="21"/>
      <c r="C54" s="21">
        <f t="shared" si="2"/>
        <v>4.4675258031742997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1.2800000000000005</v>
      </c>
      <c r="B55" s="21"/>
      <c r="C55" s="21">
        <f t="shared" si="2"/>
        <v>4.4405449835836706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1.3200000000000005</v>
      </c>
      <c r="B56" s="21"/>
      <c r="C56" s="21">
        <f t="shared" si="2"/>
        <v>4.4139908412751776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1.3600000000000005</v>
      </c>
      <c r="B57" s="21"/>
      <c r="C57" s="21">
        <f t="shared" si="2"/>
        <v>4.3878828742643847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1.4000000000000006</v>
      </c>
      <c r="B58" s="21"/>
      <c r="C58" s="21">
        <f t="shared" si="2"/>
        <v>4.3622405139382394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1.4400000000000006</v>
      </c>
      <c r="B59" s="21"/>
      <c r="C59" s="21">
        <f t="shared" si="2"/>
        <v>4.3370829973326659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1.4800000000000006</v>
      </c>
      <c r="B60" s="21"/>
      <c r="C60" s="21">
        <f t="shared" si="2"/>
        <v>4.3124292304517011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1.5200000000000007</v>
      </c>
      <c r="B61" s="21"/>
      <c r="C61" s="21">
        <f t="shared" si="2"/>
        <v>4.2882976440185905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1.5600000000000007</v>
      </c>
      <c r="B62" s="21"/>
      <c r="C62" s="21">
        <f t="shared" si="2"/>
        <v>4.2647060433898218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1.6000000000000008</v>
      </c>
      <c r="B63" s="21"/>
      <c r="C63" s="21">
        <f t="shared" si="2"/>
        <v>4.2416714546915317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1.6400000000000008</v>
      </c>
      <c r="B64" s="21"/>
      <c r="C64" s="21">
        <f t="shared" si="2"/>
        <v>4.2192099695387313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1.6800000000000008</v>
      </c>
      <c r="B65" s="21"/>
      <c r="C65" s="21">
        <f t="shared" si="2"/>
        <v>4.1973365909549623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1.7200000000000009</v>
      </c>
      <c r="B66" s="21"/>
      <c r="C66" s="21">
        <f t="shared" si="2"/>
        <v>4.1760650833070434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1.7600000000000009</v>
      </c>
      <c r="B67" s="21"/>
      <c r="C67" s="21">
        <f t="shared" si="2"/>
        <v>4.1554078291913168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1.8000000000000009</v>
      </c>
      <c r="B68" s="21"/>
      <c r="C68" s="21">
        <f t="shared" si="2"/>
        <v>4.1353756962412547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1.840000000000001</v>
      </c>
      <c r="B69" s="21"/>
      <c r="C69" s="21">
        <f t="shared" si="2"/>
        <v>4.1159779167620023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1.880000000000001</v>
      </c>
      <c r="B70" s="21"/>
      <c r="C70" s="21">
        <f t="shared" si="2"/>
        <v>4.0972219829301562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1.920000000000001</v>
      </c>
      <c r="B71" s="21"/>
      <c r="C71" s="21">
        <f t="shared" si="2"/>
        <v>4.0791135600269905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1.9600000000000011</v>
      </c>
      <c r="B72" s="21"/>
      <c r="C72" s="21">
        <f t="shared" si="2"/>
        <v>4.0616564198061029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2.0000000000000009</v>
      </c>
      <c r="B73" s="21"/>
      <c r="C73" s="21">
        <f t="shared" si="2"/>
        <v>4.0448523956434794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2.0400000000000009</v>
      </c>
      <c r="B74" s="21"/>
      <c r="C74" s="21">
        <f t="shared" si="2"/>
        <v>4.028701360595818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2.080000000000001</v>
      </c>
      <c r="B75" s="21"/>
      <c r="C75" s="21">
        <f t="shared" si="2"/>
        <v>4.0132012289227497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2.120000000000001</v>
      </c>
      <c r="B76" s="21"/>
      <c r="C76" s="21">
        <f t="shared" si="2"/>
        <v>3.9983479810342937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2.160000000000001</v>
      </c>
      <c r="B77" s="21"/>
      <c r="C77" s="21">
        <f t="shared" si="2"/>
        <v>3.9841357112323199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2.2000000000000011</v>
      </c>
      <c r="B78" s="21"/>
      <c r="C78" s="21">
        <f t="shared" si="2"/>
        <v>3.9705566970494481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2.2400000000000011</v>
      </c>
      <c r="B79" s="21"/>
      <c r="C79" s="21">
        <f t="shared" si="2"/>
        <v>3.9576014884745372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2.2800000000000011</v>
      </c>
      <c r="B80" s="21"/>
      <c r="C80" s="21">
        <f t="shared" si="2"/>
        <v>3.9452590149111857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2.3200000000000012</v>
      </c>
      <c r="B81" s="21"/>
      <c r="C81" s="21">
        <f t="shared" si="2"/>
        <v>3.933516707360452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2.3600000000000012</v>
      </c>
      <c r="B82" s="21"/>
      <c r="C82" s="21">
        <f t="shared" si="2"/>
        <v>3.9223606330620244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2.4000000000000012</v>
      </c>
      <c r="B83" s="21"/>
      <c r="C83" s="21">
        <f t="shared" si="2"/>
        <v>3.9117756396742283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2.4400000000000013</v>
      </c>
      <c r="B84" s="21"/>
      <c r="C84" s="21">
        <f t="shared" si="2"/>
        <v>3.9017455060219741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2.4800000000000013</v>
      </c>
      <c r="B85" s="21"/>
      <c r="C85" s="21">
        <f t="shared" si="2"/>
        <v>3.8922530964872744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2.5200000000000014</v>
      </c>
      <c r="B86" s="21"/>
      <c r="C86" s="21">
        <f t="shared" si="2"/>
        <v>3.8832805162492003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2.5600000000000014</v>
      </c>
      <c r="B87" s="21"/>
      <c r="C87" s="21">
        <f t="shared" si="2"/>
        <v>3.8748092647858781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2.6000000000000014</v>
      </c>
      <c r="B88" s="21"/>
      <c r="C88" s="21">
        <f t="shared" ref="C88:C122" si="3" xml:space="preserve"> LOG((10^$G$5 - 10^$G$4) * EXP(-$G$3 *A88 )  + 10^$G$4)</f>
        <v>3.8668203853148908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2.6400000000000015</v>
      </c>
      <c r="B89" s="21"/>
      <c r="C89" s="21">
        <f t="shared" si="3"/>
        <v>3.8592946081538946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2.6800000000000015</v>
      </c>
      <c r="B90" s="21"/>
      <c r="C90" s="21">
        <f t="shared" si="3"/>
        <v>3.852212486314162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2.7200000000000015</v>
      </c>
      <c r="B91" s="21"/>
      <c r="C91" s="21">
        <f t="shared" si="3"/>
        <v>3.8455545219807838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2.7600000000000016</v>
      </c>
      <c r="B92" s="21"/>
      <c r="C92" s="21">
        <f t="shared" si="3"/>
        <v>3.8393012828709181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2.8000000000000016</v>
      </c>
      <c r="B93" s="21"/>
      <c r="C93" s="21">
        <f t="shared" si="3"/>
        <v>3.8334335077842363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2.8400000000000016</v>
      </c>
      <c r="B94" s="21"/>
      <c r="C94" s="21">
        <f t="shared" si="3"/>
        <v>3.8279322009586374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2.8800000000000017</v>
      </c>
      <c r="B95" s="21"/>
      <c r="C95" s="21">
        <f t="shared" si="3"/>
        <v>3.822778715112773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2.9200000000000017</v>
      </c>
      <c r="B96" s="21"/>
      <c r="C96" s="21">
        <f t="shared" si="3"/>
        <v>3.8179548232907266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2.9600000000000017</v>
      </c>
      <c r="B97" s="21"/>
      <c r="C97" s="21">
        <f t="shared" si="3"/>
        <v>3.8134427798212713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3.0000000000000018</v>
      </c>
      <c r="B98" s="21"/>
      <c r="C98" s="21">
        <f t="shared" si="3"/>
        <v>3.8092253708641657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3.0400000000000018</v>
      </c>
      <c r="B99" s="21"/>
      <c r="C99" s="21">
        <f t="shared" si="3"/>
        <v>3.8052859551402478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3.0800000000000018</v>
      </c>
      <c r="B100" s="21"/>
      <c r="C100" s="21">
        <f t="shared" si="3"/>
        <v>3.8016084955329053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3.1200000000000019</v>
      </c>
      <c r="B101" s="21"/>
      <c r="C101" s="21">
        <f t="shared" si="3"/>
        <v>3.7981775823090698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3.1600000000000019</v>
      </c>
      <c r="B102" s="21"/>
      <c r="C102" s="21">
        <f t="shared" si="3"/>
        <v>3.7949784487417748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3.200000000000002</v>
      </c>
      <c r="B103" s="21"/>
      <c r="C103" s="21">
        <f t="shared" si="3"/>
        <v>3.7919969799274313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3.240000000000002</v>
      </c>
      <c r="B104" s="21"/>
      <c r="C104" s="21">
        <f t="shared" si="3"/>
        <v>3.7892197155831555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3.280000000000002</v>
      </c>
      <c r="B105" s="21"/>
      <c r="C105" s="21">
        <f t="shared" si="3"/>
        <v>3.7866338475864878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3.3200000000000021</v>
      </c>
      <c r="B106" s="21"/>
      <c r="C106" s="21">
        <f t="shared" si="3"/>
        <v>3.7842272129851202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3.3600000000000021</v>
      </c>
      <c r="B107" s="21"/>
      <c r="C107" s="21">
        <f t="shared" si="3"/>
        <v>3.781988283160906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3.4000000000000021</v>
      </c>
      <c r="B108" s="21"/>
      <c r="C108" s="21">
        <f t="shared" si="3"/>
        <v>3.7799061497832329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3.4400000000000022</v>
      </c>
      <c r="B109" s="21"/>
      <c r="C109" s="21">
        <f t="shared" si="3"/>
        <v>3.7779705081341199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3.4800000000000022</v>
      </c>
      <c r="B110" s="21"/>
      <c r="C110" s="21">
        <f t="shared" si="3"/>
        <v>3.776171638333071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3.5200000000000022</v>
      </c>
      <c r="B111" s="21"/>
      <c r="C111" s="21">
        <f t="shared" si="3"/>
        <v>3.7745003849354224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3.5600000000000023</v>
      </c>
      <c r="B112" s="21"/>
      <c r="C112" s="21">
        <f t="shared" si="3"/>
        <v>3.7729481353248304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3.6000000000000023</v>
      </c>
      <c r="B113" s="21"/>
      <c r="C113" s="21">
        <f t="shared" si="3"/>
        <v>3.7715067972696286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3.6400000000000023</v>
      </c>
      <c r="B114" s="21"/>
      <c r="C114" s="21">
        <f t="shared" si="3"/>
        <v>3.7701687759647182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3.6800000000000024</v>
      </c>
      <c r="B115" s="21"/>
      <c r="C115" s="21">
        <f t="shared" si="3"/>
        <v>3.7689269508358807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3.7200000000000024</v>
      </c>
      <c r="B116" s="21"/>
      <c r="C116" s="21">
        <f t="shared" si="3"/>
        <v>3.7677746523421782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3.7600000000000025</v>
      </c>
      <c r="B117" s="21"/>
      <c r="C117" s="21">
        <f t="shared" si="3"/>
        <v>3.7667056389745941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3.8000000000000025</v>
      </c>
      <c r="B118" s="21"/>
      <c r="C118" s="21">
        <f t="shared" si="3"/>
        <v>3.7657140746152202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3.8400000000000025</v>
      </c>
      <c r="B119" s="21"/>
      <c r="C119" s="21">
        <f t="shared" si="3"/>
        <v>3.7647945063910702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3.8800000000000026</v>
      </c>
      <c r="B120" s="21"/>
      <c r="C120" s="21">
        <f t="shared" si="3"/>
        <v>3.7639418431298122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3.9200000000000026</v>
      </c>
      <c r="B121" s="21"/>
      <c r="C121" s="21">
        <f t="shared" si="3"/>
        <v>3.7631513345011993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3.9600000000000026</v>
      </c>
      <c r="B122" s="21"/>
      <c r="C122" s="21">
        <f t="shared" si="3"/>
        <v>3.7624185509074866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5">
      <c r="A123" s="21"/>
      <c r="B123" s="21"/>
      <c r="C123" s="21"/>
      <c r="D123" s="21"/>
    </row>
    <row r="124" spans="1:34" x14ac:dyDescent="0.25">
      <c r="A124" s="21"/>
      <c r="B124" s="21"/>
      <c r="C124" s="21"/>
      <c r="D124" s="21"/>
    </row>
    <row r="125" spans="1:34" x14ac:dyDescent="0.25">
      <c r="A125" s="21"/>
      <c r="B125" s="21"/>
      <c r="C125" s="21"/>
      <c r="D125" s="21"/>
    </row>
    <row r="126" spans="1:34" x14ac:dyDescent="0.25">
      <c r="A126" s="21"/>
      <c r="B126" s="21"/>
      <c r="C126" s="21"/>
      <c r="D126" s="21"/>
    </row>
    <row r="127" spans="1:34" x14ac:dyDescent="0.25">
      <c r="A127" s="21"/>
      <c r="B127" s="21"/>
      <c r="C127" s="21"/>
      <c r="D127" s="21"/>
    </row>
    <row r="128" spans="1:34" x14ac:dyDescent="0.25">
      <c r="A128" s="21"/>
      <c r="B128" s="21"/>
      <c r="C128" s="21"/>
      <c r="D128" s="21"/>
    </row>
    <row r="129" spans="1:4" x14ac:dyDescent="0.25">
      <c r="A129" s="21"/>
      <c r="B129" s="21"/>
      <c r="C129" s="21"/>
      <c r="D129" s="21"/>
    </row>
    <row r="130" spans="1:4" x14ac:dyDescent="0.25">
      <c r="A130" s="21"/>
      <c r="B130" s="21"/>
      <c r="C130" s="21"/>
      <c r="D130" s="21"/>
    </row>
    <row r="131" spans="1:4" x14ac:dyDescent="0.25">
      <c r="A131" s="21"/>
      <c r="B131" s="21"/>
      <c r="C131" s="21"/>
      <c r="D131" s="21"/>
    </row>
    <row r="132" spans="1:4" x14ac:dyDescent="0.25">
      <c r="A132" s="21"/>
      <c r="B132" s="21"/>
      <c r="C132" s="21"/>
      <c r="D132" s="21"/>
    </row>
    <row r="133" spans="1:4" x14ac:dyDescent="0.25">
      <c r="A133" s="21"/>
      <c r="B133" s="21"/>
      <c r="C133" s="21"/>
      <c r="D133" s="21"/>
    </row>
    <row r="134" spans="1:4" x14ac:dyDescent="0.25">
      <c r="A134" s="21"/>
      <c r="B134" s="21"/>
      <c r="C134" s="21"/>
      <c r="D134" s="21"/>
    </row>
    <row r="135" spans="1:4" x14ac:dyDescent="0.25">
      <c r="A135" s="21"/>
      <c r="B135" s="21"/>
      <c r="C135" s="21"/>
      <c r="D135" s="21"/>
    </row>
    <row r="136" spans="1:4" x14ac:dyDescent="0.25">
      <c r="A136" s="21"/>
      <c r="B136" s="21"/>
      <c r="C136" s="21"/>
      <c r="D136" s="21"/>
    </row>
    <row r="137" spans="1:4" x14ac:dyDescent="0.25">
      <c r="A137" s="21"/>
      <c r="B137" s="21"/>
      <c r="C137" s="21"/>
      <c r="D137" s="21"/>
    </row>
    <row r="138" spans="1:4" x14ac:dyDescent="0.25">
      <c r="A138" s="21"/>
      <c r="B138" s="21"/>
      <c r="C138" s="21"/>
      <c r="D138" s="21"/>
    </row>
    <row r="139" spans="1:4" x14ac:dyDescent="0.25">
      <c r="A139" s="21"/>
      <c r="B139" s="21"/>
      <c r="C139" s="21"/>
      <c r="D139" s="21"/>
    </row>
    <row r="140" spans="1:4" x14ac:dyDescent="0.25">
      <c r="A140" s="21"/>
      <c r="B140" s="21"/>
      <c r="C140" s="21"/>
      <c r="D140" s="21"/>
    </row>
    <row r="141" spans="1:4" x14ac:dyDescent="0.25">
      <c r="A141" s="21"/>
      <c r="B141" s="21"/>
      <c r="C141" s="21"/>
      <c r="D141" s="21"/>
    </row>
    <row r="142" spans="1:4" x14ac:dyDescent="0.25">
      <c r="A142" s="21"/>
      <c r="B142" s="21"/>
      <c r="C142" s="21"/>
      <c r="D142" s="21"/>
    </row>
    <row r="143" spans="1:4" x14ac:dyDescent="0.25">
      <c r="A143" s="21"/>
      <c r="B143" s="21"/>
      <c r="C143" s="21"/>
      <c r="D143" s="21"/>
    </row>
    <row r="144" spans="1:4" x14ac:dyDescent="0.25">
      <c r="A144" s="21"/>
      <c r="B144" s="21"/>
      <c r="C144" s="21"/>
      <c r="D144" s="21"/>
    </row>
    <row r="145" spans="1:4" x14ac:dyDescent="0.25">
      <c r="A145" s="21"/>
      <c r="B145" s="21"/>
      <c r="C145" s="21"/>
      <c r="D145" s="21"/>
    </row>
    <row r="146" spans="1:4" x14ac:dyDescent="0.25">
      <c r="A146" s="21"/>
      <c r="B146" s="21"/>
      <c r="C146" s="21"/>
      <c r="D146" s="21"/>
    </row>
    <row r="147" spans="1:4" x14ac:dyDescent="0.25">
      <c r="A147" s="21"/>
      <c r="B147" s="21"/>
      <c r="C147" s="21"/>
      <c r="D147" s="21"/>
    </row>
    <row r="148" spans="1:4" x14ac:dyDescent="0.25">
      <c r="A148" s="21"/>
      <c r="B148" s="21"/>
      <c r="C148" s="21"/>
      <c r="D148" s="21"/>
    </row>
    <row r="149" spans="1:4" x14ac:dyDescent="0.25">
      <c r="A149" s="21"/>
      <c r="B149" s="21"/>
      <c r="C149" s="21"/>
      <c r="D149" s="21"/>
    </row>
    <row r="150" spans="1:4" x14ac:dyDescent="0.25">
      <c r="A150" s="21"/>
      <c r="B150" s="21"/>
      <c r="C150" s="21"/>
      <c r="D150" s="21"/>
    </row>
    <row r="151" spans="1:4" x14ac:dyDescent="0.25">
      <c r="A151" s="21"/>
      <c r="B151" s="21"/>
      <c r="C151" s="21"/>
      <c r="D151" s="21"/>
    </row>
    <row r="152" spans="1:4" x14ac:dyDescent="0.25">
      <c r="A152" s="21"/>
      <c r="B152" s="21"/>
      <c r="C152" s="21"/>
      <c r="D152" s="21"/>
    </row>
    <row r="153" spans="1:4" x14ac:dyDescent="0.25">
      <c r="A153" s="21"/>
      <c r="B153" s="21"/>
      <c r="C153" s="21"/>
      <c r="D153" s="21"/>
    </row>
    <row r="154" spans="1:4" x14ac:dyDescent="0.25">
      <c r="A154" s="21"/>
      <c r="B154" s="21"/>
      <c r="C154" s="21"/>
      <c r="D154" s="21"/>
    </row>
    <row r="155" spans="1:4" x14ac:dyDescent="0.25">
      <c r="A155" s="21"/>
      <c r="B155" s="21"/>
      <c r="C155" s="21"/>
      <c r="D155" s="21"/>
    </row>
    <row r="156" spans="1:4" x14ac:dyDescent="0.25">
      <c r="A156" s="21"/>
      <c r="B156" s="21"/>
      <c r="C156" s="21"/>
      <c r="D156" s="21"/>
    </row>
    <row r="157" spans="1:4" x14ac:dyDescent="0.25">
      <c r="A157" s="21"/>
      <c r="B157" s="21"/>
      <c r="C157" s="21"/>
      <c r="D157" s="21"/>
    </row>
    <row r="158" spans="1:4" x14ac:dyDescent="0.25">
      <c r="A158" s="21"/>
      <c r="B158" s="21"/>
      <c r="C158" s="21"/>
      <c r="D158" s="21"/>
    </row>
    <row r="159" spans="1:4" x14ac:dyDescent="0.25">
      <c r="A159" s="21"/>
      <c r="B159" s="21"/>
      <c r="C159" s="21"/>
      <c r="D159" s="21"/>
    </row>
    <row r="160" spans="1:4" x14ac:dyDescent="0.25">
      <c r="A160" s="21"/>
      <c r="B160" s="21"/>
      <c r="C160" s="21"/>
      <c r="D160" s="21"/>
    </row>
    <row r="161" spans="1:4" x14ac:dyDescent="0.25">
      <c r="A161" s="21"/>
      <c r="B161" s="21"/>
      <c r="C161" s="21"/>
      <c r="D161" s="21"/>
    </row>
    <row r="162" spans="1:4" x14ac:dyDescent="0.25">
      <c r="A162" s="21"/>
      <c r="B162" s="21"/>
      <c r="C162" s="21"/>
      <c r="D162" s="21"/>
    </row>
    <row r="163" spans="1:4" x14ac:dyDescent="0.25">
      <c r="A163" s="21"/>
      <c r="B163" s="21"/>
      <c r="C163" s="21"/>
      <c r="D163" s="21"/>
    </row>
    <row r="164" spans="1:4" x14ac:dyDescent="0.25">
      <c r="A164" s="21"/>
      <c r="B164" s="21"/>
      <c r="C164" s="21"/>
      <c r="D164" s="21"/>
    </row>
    <row r="165" spans="1:4" x14ac:dyDescent="0.25">
      <c r="A165" s="21"/>
      <c r="B165" s="21"/>
      <c r="C165" s="21"/>
      <c r="D165" s="21"/>
    </row>
    <row r="166" spans="1:4" x14ac:dyDescent="0.25">
      <c r="A166" s="21"/>
      <c r="B166" s="21"/>
      <c r="C166" s="21"/>
      <c r="D166" s="21"/>
    </row>
    <row r="167" spans="1:4" x14ac:dyDescent="0.25">
      <c r="A167" s="21"/>
      <c r="B167" s="21"/>
      <c r="C167" s="21"/>
      <c r="D167" s="21"/>
    </row>
    <row r="168" spans="1:4" x14ac:dyDescent="0.25">
      <c r="A168" s="21"/>
      <c r="B168" s="21"/>
      <c r="C168" s="21"/>
      <c r="D168" s="21"/>
    </row>
    <row r="169" spans="1:4" x14ac:dyDescent="0.25">
      <c r="A169" s="21"/>
      <c r="B169" s="21"/>
      <c r="C169" s="21"/>
      <c r="D169" s="21"/>
    </row>
    <row r="170" spans="1:4" x14ac:dyDescent="0.25">
      <c r="A170" s="21"/>
      <c r="B170" s="21"/>
      <c r="C170" s="21"/>
      <c r="D170" s="21"/>
    </row>
    <row r="171" spans="1:4" x14ac:dyDescent="0.25">
      <c r="A171" s="21"/>
      <c r="B171" s="21"/>
      <c r="C171" s="21"/>
      <c r="D171" s="21"/>
    </row>
    <row r="172" spans="1:4" x14ac:dyDescent="0.25">
      <c r="A172" s="21"/>
      <c r="B172" s="21"/>
      <c r="C172" s="21"/>
      <c r="D172" s="21"/>
    </row>
    <row r="173" spans="1:4" x14ac:dyDescent="0.25">
      <c r="A173" s="21"/>
      <c r="B173" s="21"/>
      <c r="C173" s="21"/>
      <c r="D173" s="21"/>
    </row>
    <row r="174" spans="1:4" x14ac:dyDescent="0.25">
      <c r="A174" s="21"/>
      <c r="B174" s="21"/>
      <c r="C174" s="21"/>
      <c r="D174" s="21"/>
    </row>
    <row r="175" spans="1:4" x14ac:dyDescent="0.25">
      <c r="A175" s="21"/>
      <c r="B175" s="21"/>
      <c r="C175" s="21"/>
      <c r="D175" s="21"/>
    </row>
    <row r="176" spans="1:4" x14ac:dyDescent="0.25">
      <c r="A176" s="21"/>
      <c r="B176" s="21"/>
      <c r="C176" s="21"/>
      <c r="D176" s="21"/>
    </row>
    <row r="177" spans="1:4" x14ac:dyDescent="0.25">
      <c r="A177" s="21"/>
      <c r="B177" s="21"/>
      <c r="C177" s="21"/>
      <c r="D177" s="21"/>
    </row>
    <row r="178" spans="1:4" x14ac:dyDescent="0.25">
      <c r="A178" s="21"/>
      <c r="B178" s="21"/>
      <c r="C178" s="21"/>
      <c r="D178" s="21"/>
    </row>
    <row r="179" spans="1:4" x14ac:dyDescent="0.25">
      <c r="A179" s="21"/>
      <c r="B179" s="21"/>
      <c r="C179" s="21"/>
      <c r="D179" s="21"/>
    </row>
    <row r="180" spans="1:4" x14ac:dyDescent="0.25">
      <c r="A180" s="21"/>
      <c r="B180" s="21"/>
      <c r="C180" s="21"/>
      <c r="D180" s="21"/>
    </row>
    <row r="181" spans="1:4" x14ac:dyDescent="0.25">
      <c r="A181" s="21"/>
      <c r="B181" s="21"/>
      <c r="C181" s="21"/>
      <c r="D181" s="21"/>
    </row>
    <row r="182" spans="1:4" x14ac:dyDescent="0.25">
      <c r="A182" s="21"/>
      <c r="B182" s="21"/>
      <c r="C182" s="21"/>
      <c r="D182" s="21"/>
    </row>
    <row r="183" spans="1:4" x14ac:dyDescent="0.25">
      <c r="A183" s="21"/>
      <c r="B183" s="21"/>
      <c r="C183" s="21"/>
      <c r="D183" s="21"/>
    </row>
    <row r="184" spans="1:4" x14ac:dyDescent="0.25">
      <c r="A184" s="21"/>
      <c r="B184" s="21"/>
      <c r="C184" s="21"/>
      <c r="D184" s="21"/>
    </row>
    <row r="185" spans="1:4" x14ac:dyDescent="0.25">
      <c r="A185" s="21"/>
      <c r="B185" s="21"/>
      <c r="C185" s="21"/>
      <c r="D185" s="21"/>
    </row>
    <row r="186" spans="1:4" x14ac:dyDescent="0.25">
      <c r="A186" s="21"/>
      <c r="B186" s="21"/>
      <c r="C186" s="21"/>
      <c r="D186" s="21"/>
    </row>
    <row r="187" spans="1:4" x14ac:dyDescent="0.25">
      <c r="A187" s="21"/>
      <c r="B187" s="21"/>
      <c r="C187" s="21"/>
      <c r="D187" s="21"/>
    </row>
    <row r="188" spans="1:4" x14ac:dyDescent="0.25">
      <c r="A188" s="21"/>
      <c r="B188" s="21"/>
      <c r="C188" s="21"/>
      <c r="D188" s="21"/>
    </row>
    <row r="189" spans="1:4" x14ac:dyDescent="0.25">
      <c r="A189" s="21"/>
      <c r="B189" s="21"/>
      <c r="C189" s="21"/>
      <c r="D189" s="21"/>
    </row>
    <row r="190" spans="1:4" x14ac:dyDescent="0.25">
      <c r="A190" s="21"/>
      <c r="B190" s="21"/>
      <c r="C190" s="21"/>
      <c r="D190" s="21"/>
    </row>
    <row r="191" spans="1:4" x14ac:dyDescent="0.25">
      <c r="A191" s="21"/>
      <c r="B191" s="21"/>
      <c r="C191" s="21"/>
      <c r="D191" s="21"/>
    </row>
    <row r="192" spans="1:4" x14ac:dyDescent="0.25">
      <c r="A192" s="21"/>
      <c r="B192" s="21"/>
      <c r="C192" s="21"/>
      <c r="D192" s="21"/>
    </row>
    <row r="193" spans="1:4" x14ac:dyDescent="0.25">
      <c r="A193" s="21"/>
      <c r="B193" s="21"/>
      <c r="C193" s="21"/>
      <c r="D193" s="21"/>
    </row>
    <row r="194" spans="1:4" x14ac:dyDescent="0.25">
      <c r="A194" s="21"/>
      <c r="B194" s="21"/>
      <c r="C194" s="21"/>
      <c r="D194" s="21"/>
    </row>
    <row r="195" spans="1:4" x14ac:dyDescent="0.25">
      <c r="A195" s="21"/>
      <c r="B195" s="21"/>
      <c r="C195" s="21"/>
      <c r="D195" s="21"/>
    </row>
    <row r="196" spans="1:4" x14ac:dyDescent="0.25">
      <c r="A196" s="21"/>
      <c r="B196" s="21"/>
      <c r="C196" s="21"/>
      <c r="D196" s="21"/>
    </row>
    <row r="197" spans="1:4" x14ac:dyDescent="0.25">
      <c r="A197" s="21"/>
      <c r="B197" s="21"/>
      <c r="C197" s="21"/>
      <c r="D197" s="21"/>
    </row>
    <row r="198" spans="1:4" x14ac:dyDescent="0.25">
      <c r="A198" s="21"/>
      <c r="B198" s="21"/>
      <c r="C198" s="21"/>
      <c r="D198" s="21"/>
    </row>
    <row r="199" spans="1:4" x14ac:dyDescent="0.25">
      <c r="A199" s="21"/>
      <c r="B199" s="21"/>
      <c r="C199" s="21"/>
      <c r="D199" s="21"/>
    </row>
    <row r="200" spans="1:4" x14ac:dyDescent="0.25">
      <c r="A200" s="21"/>
      <c r="B200" s="21"/>
      <c r="C200" s="21"/>
      <c r="D200" s="21"/>
    </row>
    <row r="201" spans="1:4" x14ac:dyDescent="0.25">
      <c r="A201" s="21"/>
      <c r="B201" s="21"/>
      <c r="C201" s="21"/>
      <c r="D201" s="21"/>
    </row>
    <row r="202" spans="1:4" x14ac:dyDescent="0.25">
      <c r="A202" s="21"/>
      <c r="B202" s="21"/>
      <c r="C202" s="21"/>
      <c r="D202" s="21"/>
    </row>
    <row r="203" spans="1:4" x14ac:dyDescent="0.25">
      <c r="A203" s="21"/>
      <c r="B203" s="21"/>
      <c r="C203" s="21"/>
      <c r="D203" s="21"/>
    </row>
    <row r="204" spans="1:4" x14ac:dyDescent="0.25">
      <c r="A204" s="21"/>
      <c r="B204" s="21"/>
      <c r="C204" s="21"/>
      <c r="D204" s="21"/>
    </row>
    <row r="205" spans="1:4" x14ac:dyDescent="0.25">
      <c r="A205" s="21"/>
      <c r="B205" s="21"/>
      <c r="C205" s="21"/>
      <c r="D205" s="21"/>
    </row>
    <row r="206" spans="1:4" x14ac:dyDescent="0.25">
      <c r="A206" s="21"/>
      <c r="B206" s="21"/>
      <c r="C206" s="21"/>
      <c r="D206" s="21"/>
    </row>
    <row r="207" spans="1:4" x14ac:dyDescent="0.25">
      <c r="A207" s="21"/>
      <c r="B207" s="21"/>
      <c r="C207" s="21"/>
      <c r="D207" s="21"/>
    </row>
    <row r="208" spans="1:4" x14ac:dyDescent="0.25">
      <c r="A208" s="21"/>
      <c r="B208" s="21"/>
      <c r="C208" s="21"/>
      <c r="D208" s="21"/>
    </row>
    <row r="209" spans="1:4" x14ac:dyDescent="0.25">
      <c r="A209" s="21"/>
      <c r="B209" s="21"/>
      <c r="C209" s="21"/>
      <c r="D209" s="21"/>
    </row>
    <row r="210" spans="1:4" x14ac:dyDescent="0.25">
      <c r="A210" s="21"/>
      <c r="B210" s="21"/>
      <c r="C210" s="21"/>
      <c r="D210" s="21"/>
    </row>
    <row r="211" spans="1:4" x14ac:dyDescent="0.25">
      <c r="A211" s="21"/>
      <c r="B211" s="21"/>
      <c r="C211" s="21"/>
      <c r="D211" s="21"/>
    </row>
    <row r="212" spans="1:4" x14ac:dyDescent="0.25">
      <c r="A212" s="21"/>
      <c r="B212" s="21"/>
      <c r="C212" s="21"/>
      <c r="D212" s="21"/>
    </row>
    <row r="213" spans="1:4" x14ac:dyDescent="0.25">
      <c r="A213" s="21"/>
      <c r="B213" s="21"/>
      <c r="C213" s="21"/>
      <c r="D213" s="21"/>
    </row>
    <row r="214" spans="1:4" x14ac:dyDescent="0.25">
      <c r="A214" s="21"/>
      <c r="B214" s="21"/>
      <c r="C214" s="21"/>
      <c r="D214" s="21"/>
    </row>
    <row r="215" spans="1:4" x14ac:dyDescent="0.25">
      <c r="A215" s="21"/>
      <c r="B215" s="21"/>
      <c r="C215" s="21"/>
      <c r="D215" s="21"/>
    </row>
    <row r="216" spans="1:4" x14ac:dyDescent="0.25">
      <c r="A216" s="21"/>
      <c r="B216" s="21"/>
      <c r="C216" s="21"/>
      <c r="D216" s="21"/>
    </row>
    <row r="217" spans="1:4" x14ac:dyDescent="0.25">
      <c r="A217" s="21"/>
      <c r="B217" s="21"/>
      <c r="C217" s="21"/>
      <c r="D217" s="21"/>
    </row>
    <row r="218" spans="1:4" x14ac:dyDescent="0.25">
      <c r="A218" s="21"/>
      <c r="B218" s="21"/>
      <c r="C218" s="21"/>
      <c r="D218" s="21"/>
    </row>
    <row r="219" spans="1:4" x14ac:dyDescent="0.25">
      <c r="A219" s="21"/>
      <c r="B219" s="21"/>
      <c r="C219" s="21"/>
      <c r="D219" s="21"/>
    </row>
    <row r="220" spans="1:4" x14ac:dyDescent="0.25">
      <c r="A220" s="21"/>
      <c r="B220" s="21"/>
      <c r="C220" s="21"/>
      <c r="D220" s="21"/>
    </row>
    <row r="221" spans="1:4" x14ac:dyDescent="0.25">
      <c r="A221" s="21"/>
      <c r="B221" s="21"/>
      <c r="C221" s="21"/>
      <c r="D221" s="21"/>
    </row>
    <row r="222" spans="1:4" x14ac:dyDescent="0.25">
      <c r="A222" s="21"/>
      <c r="B222" s="21"/>
      <c r="C222" s="21"/>
      <c r="D222" s="21"/>
    </row>
    <row r="223" spans="1:4" x14ac:dyDescent="0.25">
      <c r="A223" s="21"/>
      <c r="B223" s="21"/>
      <c r="C223" s="21"/>
      <c r="D223" s="21"/>
    </row>
    <row r="224" spans="1:4" x14ac:dyDescent="0.25">
      <c r="A224" s="21"/>
      <c r="B224" s="21"/>
      <c r="C224" s="21"/>
      <c r="D224" s="21"/>
    </row>
    <row r="225" spans="1:4" x14ac:dyDescent="0.25">
      <c r="A225" s="21"/>
      <c r="B225" s="21"/>
      <c r="C225" s="21"/>
      <c r="D225" s="21"/>
    </row>
    <row r="226" spans="1:4" x14ac:dyDescent="0.25">
      <c r="A226" s="21"/>
      <c r="B226" s="21"/>
      <c r="C226" s="21"/>
      <c r="D226" s="21"/>
    </row>
    <row r="227" spans="1:4" x14ac:dyDescent="0.25">
      <c r="A227" s="21"/>
      <c r="B227" s="21"/>
      <c r="C227" s="21"/>
      <c r="D227" s="21"/>
    </row>
    <row r="228" spans="1:4" x14ac:dyDescent="0.25">
      <c r="A228" s="21"/>
      <c r="B228" s="21"/>
      <c r="C228" s="21"/>
      <c r="D228" s="21"/>
    </row>
    <row r="229" spans="1:4" x14ac:dyDescent="0.25">
      <c r="A229" s="21"/>
      <c r="B229" s="21"/>
      <c r="C229" s="21"/>
      <c r="D229" s="21"/>
    </row>
    <row r="230" spans="1:4" x14ac:dyDescent="0.25">
      <c r="A230" s="21"/>
      <c r="B230" s="21"/>
      <c r="C230" s="21"/>
      <c r="D230" s="21"/>
    </row>
    <row r="231" spans="1:4" x14ac:dyDescent="0.25">
      <c r="A231" s="21"/>
      <c r="B231" s="21"/>
      <c r="C231" s="21"/>
      <c r="D231" s="21"/>
    </row>
    <row r="232" spans="1:4" x14ac:dyDescent="0.25">
      <c r="A232" s="21"/>
      <c r="B232" s="21"/>
      <c r="C232" s="21"/>
      <c r="D232" s="21"/>
    </row>
    <row r="233" spans="1:4" x14ac:dyDescent="0.25">
      <c r="A233" s="21"/>
      <c r="B233" s="21"/>
      <c r="C233" s="21"/>
      <c r="D233" s="21"/>
    </row>
    <row r="234" spans="1:4" x14ac:dyDescent="0.25">
      <c r="A234" s="21"/>
      <c r="B234" s="21"/>
      <c r="C234" s="21"/>
      <c r="D234" s="21"/>
    </row>
    <row r="235" spans="1:4" x14ac:dyDescent="0.25">
      <c r="A235" s="21"/>
      <c r="B235" s="21"/>
      <c r="C235" s="21"/>
      <c r="D235" s="21"/>
    </row>
    <row r="236" spans="1:4" x14ac:dyDescent="0.25">
      <c r="A236" s="21"/>
      <c r="B236" s="21"/>
      <c r="C236" s="21"/>
      <c r="D236" s="21"/>
    </row>
    <row r="237" spans="1:4" x14ac:dyDescent="0.25">
      <c r="A237" s="21"/>
      <c r="B237" s="21"/>
      <c r="C237" s="21"/>
      <c r="D237" s="21"/>
    </row>
    <row r="238" spans="1:4" x14ac:dyDescent="0.25">
      <c r="A238" s="21"/>
      <c r="B238" s="21"/>
      <c r="C238" s="21"/>
      <c r="D238" s="21"/>
    </row>
    <row r="239" spans="1:4" x14ac:dyDescent="0.25">
      <c r="A239" s="21"/>
      <c r="B239" s="21"/>
      <c r="C239" s="21"/>
      <c r="D239" s="21"/>
    </row>
    <row r="240" spans="1:4" x14ac:dyDescent="0.25">
      <c r="A240" s="21"/>
      <c r="B240" s="21"/>
      <c r="C240" s="21"/>
      <c r="D240" s="21"/>
    </row>
    <row r="241" spans="1:4" x14ac:dyDescent="0.25">
      <c r="A241" s="21"/>
      <c r="B241" s="21"/>
      <c r="C241" s="21"/>
      <c r="D241" s="21"/>
    </row>
    <row r="242" spans="1:4" x14ac:dyDescent="0.25">
      <c r="A242" s="21"/>
      <c r="B242" s="21"/>
      <c r="C242" s="21"/>
      <c r="D242" s="21"/>
    </row>
    <row r="243" spans="1:4" x14ac:dyDescent="0.25">
      <c r="A243" s="21"/>
      <c r="B243" s="21"/>
      <c r="C243" s="21"/>
      <c r="D243" s="21"/>
    </row>
    <row r="244" spans="1:4" x14ac:dyDescent="0.25">
      <c r="A244" s="21"/>
      <c r="B244" s="21"/>
      <c r="C244" s="21"/>
      <c r="D244" s="21"/>
    </row>
    <row r="245" spans="1:4" x14ac:dyDescent="0.25">
      <c r="A245" s="21"/>
      <c r="B245" s="21"/>
      <c r="C245" s="21"/>
      <c r="D245" s="21"/>
    </row>
    <row r="246" spans="1:4" x14ac:dyDescent="0.25">
      <c r="A246" s="21"/>
      <c r="B246" s="21"/>
      <c r="C246" s="21"/>
      <c r="D246" s="21"/>
    </row>
    <row r="247" spans="1:4" x14ac:dyDescent="0.25">
      <c r="A247" s="21"/>
      <c r="B247" s="21"/>
      <c r="C247" s="21"/>
      <c r="D247" s="21"/>
    </row>
    <row r="248" spans="1:4" x14ac:dyDescent="0.25">
      <c r="A248" s="21"/>
      <c r="B248" s="21"/>
      <c r="C248" s="21"/>
      <c r="D248" s="21"/>
    </row>
    <row r="249" spans="1:4" x14ac:dyDescent="0.25">
      <c r="A249" s="21"/>
      <c r="B249" s="21"/>
      <c r="C249" s="21"/>
      <c r="D249" s="21"/>
    </row>
    <row r="250" spans="1:4" x14ac:dyDescent="0.25">
      <c r="A250" s="21"/>
      <c r="B250" s="21"/>
      <c r="C250" s="21"/>
      <c r="D250" s="21"/>
    </row>
    <row r="251" spans="1:4" x14ac:dyDescent="0.25">
      <c r="A251" s="21"/>
      <c r="B251" s="21"/>
      <c r="C251" s="21"/>
      <c r="D251" s="21"/>
    </row>
    <row r="252" spans="1:4" x14ac:dyDescent="0.25">
      <c r="A252" s="21"/>
      <c r="B252" s="21"/>
      <c r="C252" s="21"/>
      <c r="D252" s="21"/>
    </row>
    <row r="253" spans="1:4" x14ac:dyDescent="0.25">
      <c r="A253" s="21"/>
      <c r="B253" s="21"/>
      <c r="C253" s="21"/>
      <c r="D253" s="21"/>
    </row>
    <row r="254" spans="1:4" x14ac:dyDescent="0.25">
      <c r="A254" s="21"/>
      <c r="B254" s="21"/>
      <c r="C254" s="21"/>
      <c r="D254" s="21"/>
    </row>
    <row r="255" spans="1:4" x14ac:dyDescent="0.25">
      <c r="A255" s="21"/>
      <c r="B255" s="21"/>
      <c r="C255" s="21"/>
      <c r="D255" s="21"/>
    </row>
    <row r="256" spans="1:4" x14ac:dyDescent="0.25">
      <c r="A256" s="21"/>
      <c r="B256" s="21"/>
      <c r="C256" s="21"/>
      <c r="D256" s="21"/>
    </row>
    <row r="257" spans="1:4" x14ac:dyDescent="0.25">
      <c r="A257" s="21"/>
      <c r="B257" s="21"/>
      <c r="C257" s="21"/>
      <c r="D257" s="21"/>
    </row>
    <row r="258" spans="1:4" x14ac:dyDescent="0.25">
      <c r="A258" s="21"/>
      <c r="B258" s="21"/>
      <c r="C258" s="21"/>
      <c r="D258" s="21"/>
    </row>
    <row r="259" spans="1:4" x14ac:dyDescent="0.25">
      <c r="A259" s="21"/>
      <c r="B259" s="21"/>
      <c r="C259" s="21"/>
      <c r="D259" s="21"/>
    </row>
    <row r="260" spans="1:4" x14ac:dyDescent="0.25">
      <c r="A260" s="21"/>
      <c r="B260" s="21"/>
      <c r="C260" s="21"/>
      <c r="D260" s="21"/>
    </row>
    <row r="261" spans="1:4" x14ac:dyDescent="0.25">
      <c r="A261" s="21"/>
      <c r="B261" s="21"/>
      <c r="C261" s="21"/>
      <c r="D261" s="21"/>
    </row>
    <row r="262" spans="1:4" x14ac:dyDescent="0.25">
      <c r="A262" s="21"/>
      <c r="B262" s="21"/>
      <c r="C262" s="21"/>
      <c r="D262" s="21"/>
    </row>
    <row r="263" spans="1:4" x14ac:dyDescent="0.25">
      <c r="A263" s="21"/>
      <c r="B263" s="21"/>
      <c r="C263" s="21"/>
      <c r="D263" s="21"/>
    </row>
    <row r="264" spans="1:4" x14ac:dyDescent="0.25">
      <c r="A264" s="21"/>
      <c r="B264" s="21"/>
      <c r="C264" s="21"/>
      <c r="D264" s="21"/>
    </row>
    <row r="265" spans="1:4" x14ac:dyDescent="0.25">
      <c r="A265" s="21"/>
      <c r="B265" s="21"/>
      <c r="C265" s="21"/>
      <c r="D265" s="21"/>
    </row>
    <row r="266" spans="1:4" x14ac:dyDescent="0.25">
      <c r="A266" s="21"/>
      <c r="B266" s="21"/>
      <c r="C266" s="21"/>
      <c r="D266" s="21"/>
    </row>
    <row r="267" spans="1:4" x14ac:dyDescent="0.25">
      <c r="A267" s="21"/>
      <c r="B267" s="21"/>
      <c r="C267" s="21"/>
      <c r="D267" s="21"/>
    </row>
    <row r="268" spans="1:4" x14ac:dyDescent="0.25">
      <c r="A268" s="21"/>
      <c r="B268" s="21"/>
      <c r="C268" s="21"/>
      <c r="D268" s="21"/>
    </row>
    <row r="269" spans="1:4" x14ac:dyDescent="0.25">
      <c r="A269" s="21"/>
      <c r="B269" s="21"/>
      <c r="C269" s="21"/>
      <c r="D269" s="21"/>
    </row>
    <row r="270" spans="1:4" x14ac:dyDescent="0.25">
      <c r="A270" s="21"/>
      <c r="B270" s="21"/>
      <c r="C270" s="21"/>
      <c r="D270" s="21"/>
    </row>
    <row r="271" spans="1:4" x14ac:dyDescent="0.25">
      <c r="A271" s="21"/>
      <c r="B271" s="21"/>
      <c r="C271" s="21"/>
      <c r="D271" s="21"/>
    </row>
    <row r="272" spans="1:4" x14ac:dyDescent="0.25">
      <c r="A272" s="21"/>
      <c r="B272" s="21"/>
      <c r="C272" s="21"/>
      <c r="D272" s="21"/>
    </row>
    <row r="273" spans="1:4" x14ac:dyDescent="0.25">
      <c r="A273" s="21"/>
      <c r="B273" s="21"/>
      <c r="C273" s="21"/>
      <c r="D273" s="21"/>
    </row>
    <row r="274" spans="1:4" x14ac:dyDescent="0.25">
      <c r="A274" s="21"/>
      <c r="B274" s="21"/>
      <c r="C274" s="21"/>
      <c r="D274" s="21"/>
    </row>
    <row r="275" spans="1:4" x14ac:dyDescent="0.25">
      <c r="A275" s="21"/>
      <c r="B275" s="21"/>
      <c r="C275" s="21"/>
      <c r="D275" s="21"/>
    </row>
    <row r="276" spans="1:4" x14ac:dyDescent="0.25">
      <c r="A276" s="21"/>
      <c r="B276" s="21"/>
      <c r="C276" s="21"/>
      <c r="D276" s="21"/>
    </row>
    <row r="277" spans="1:4" x14ac:dyDescent="0.25">
      <c r="A277" s="21"/>
      <c r="B277" s="21"/>
      <c r="C277" s="21"/>
      <c r="D277" s="21"/>
    </row>
    <row r="278" spans="1:4" x14ac:dyDescent="0.25">
      <c r="A278" s="21"/>
      <c r="B278" s="21"/>
      <c r="C278" s="21"/>
      <c r="D278" s="21"/>
    </row>
    <row r="279" spans="1:4" x14ac:dyDescent="0.25">
      <c r="A279" s="21"/>
      <c r="B279" s="21"/>
      <c r="C279" s="21"/>
      <c r="D279" s="21"/>
    </row>
    <row r="280" spans="1:4" x14ac:dyDescent="0.25">
      <c r="A280" s="21"/>
      <c r="B280" s="21"/>
      <c r="C280" s="21"/>
      <c r="D280" s="21"/>
    </row>
    <row r="281" spans="1:4" x14ac:dyDescent="0.25">
      <c r="A281" s="21"/>
      <c r="B281" s="21"/>
      <c r="C281" s="21"/>
      <c r="D281" s="21"/>
    </row>
    <row r="282" spans="1:4" x14ac:dyDescent="0.25">
      <c r="A282" s="21"/>
      <c r="B282" s="21"/>
      <c r="C282" s="21"/>
      <c r="D282" s="21"/>
    </row>
    <row r="283" spans="1:4" x14ac:dyDescent="0.25">
      <c r="A283" s="21"/>
      <c r="B283" s="21"/>
      <c r="C283" s="21"/>
      <c r="D283" s="21"/>
    </row>
    <row r="284" spans="1:4" x14ac:dyDescent="0.25">
      <c r="A284" s="21"/>
      <c r="B284" s="21"/>
      <c r="C284" s="21"/>
      <c r="D284" s="21"/>
    </row>
    <row r="285" spans="1:4" x14ac:dyDescent="0.25">
      <c r="A285" s="21"/>
      <c r="B285" s="21"/>
      <c r="C285" s="21"/>
      <c r="D285" s="21"/>
    </row>
    <row r="286" spans="1:4" x14ac:dyDescent="0.25">
      <c r="A286" s="21"/>
      <c r="B286" s="21"/>
      <c r="C286" s="21"/>
      <c r="D286" s="21"/>
    </row>
    <row r="287" spans="1:4" x14ac:dyDescent="0.25">
      <c r="A287" s="21"/>
      <c r="B287" s="21"/>
      <c r="C287" s="21"/>
      <c r="D287" s="21"/>
    </row>
    <row r="288" spans="1:4" x14ac:dyDescent="0.25">
      <c r="A288" s="21"/>
      <c r="B288" s="21"/>
      <c r="C288" s="21"/>
      <c r="D288" s="21"/>
    </row>
    <row r="289" spans="1:4" x14ac:dyDescent="0.25">
      <c r="A289" s="21"/>
      <c r="B289" s="21"/>
      <c r="C289" s="21"/>
      <c r="D289" s="21"/>
    </row>
    <row r="290" spans="1:4" x14ac:dyDescent="0.25">
      <c r="A290" s="21"/>
      <c r="B290" s="21"/>
      <c r="C290" s="21"/>
      <c r="D290" s="21"/>
    </row>
    <row r="291" spans="1:4" x14ac:dyDescent="0.25">
      <c r="A291" s="21"/>
      <c r="B291" s="21"/>
      <c r="C291" s="21"/>
      <c r="D291" s="21"/>
    </row>
    <row r="292" spans="1:4" x14ac:dyDescent="0.25">
      <c r="A292" s="21"/>
      <c r="B292" s="21"/>
      <c r="C292" s="21"/>
      <c r="D292" s="21"/>
    </row>
    <row r="293" spans="1:4" x14ac:dyDescent="0.25">
      <c r="A293" s="21"/>
      <c r="B293" s="21"/>
      <c r="C293" s="21"/>
      <c r="D293" s="21"/>
    </row>
    <row r="294" spans="1:4" x14ac:dyDescent="0.25">
      <c r="A294" s="21"/>
      <c r="B294" s="21"/>
      <c r="C294" s="21"/>
      <c r="D294" s="21"/>
    </row>
    <row r="295" spans="1:4" x14ac:dyDescent="0.25">
      <c r="A295" s="21"/>
      <c r="B295" s="21"/>
      <c r="C295" s="21"/>
      <c r="D295" s="21"/>
    </row>
    <row r="296" spans="1:4" x14ac:dyDescent="0.25">
      <c r="A296" s="21"/>
      <c r="B296" s="21"/>
      <c r="C296" s="21"/>
      <c r="D296" s="21"/>
    </row>
    <row r="297" spans="1:4" x14ac:dyDescent="0.25">
      <c r="A297" s="21"/>
      <c r="B297" s="21"/>
      <c r="C297" s="21"/>
      <c r="D297" s="21"/>
    </row>
    <row r="298" spans="1:4" x14ac:dyDescent="0.25">
      <c r="A298" s="21"/>
      <c r="B298" s="21"/>
      <c r="C298" s="21"/>
      <c r="D298" s="21"/>
    </row>
    <row r="299" spans="1:4" x14ac:dyDescent="0.25">
      <c r="A299" s="21"/>
      <c r="B299" s="21"/>
      <c r="C299" s="21"/>
      <c r="D299" s="21"/>
    </row>
    <row r="300" spans="1:4" x14ac:dyDescent="0.25">
      <c r="A300" s="21"/>
      <c r="B300" s="21"/>
      <c r="C300" s="21"/>
      <c r="D300" s="21"/>
    </row>
    <row r="301" spans="1:4" x14ac:dyDescent="0.25">
      <c r="A301" s="21"/>
      <c r="B301" s="21"/>
      <c r="C301" s="21"/>
      <c r="D301" s="21"/>
    </row>
    <row r="302" spans="1:4" x14ac:dyDescent="0.25">
      <c r="A302" s="21"/>
      <c r="B302" s="21"/>
      <c r="C302" s="21"/>
      <c r="D302" s="21"/>
    </row>
    <row r="303" spans="1:4" x14ac:dyDescent="0.25">
      <c r="A303" s="21"/>
      <c r="B303" s="21"/>
      <c r="C303" s="21"/>
      <c r="D303" s="21"/>
    </row>
    <row r="304" spans="1:4" x14ac:dyDescent="0.25">
      <c r="A304" s="21"/>
      <c r="B304" s="21"/>
      <c r="C304" s="21"/>
      <c r="D304" s="21"/>
    </row>
    <row r="305" spans="1:4" x14ac:dyDescent="0.25">
      <c r="A305" s="21"/>
      <c r="B305" s="21"/>
      <c r="C305" s="21"/>
      <c r="D305" s="21"/>
    </row>
    <row r="306" spans="1:4" x14ac:dyDescent="0.25">
      <c r="A306" s="21"/>
      <c r="B306" s="21"/>
      <c r="C306" s="21"/>
      <c r="D306" s="21"/>
    </row>
    <row r="307" spans="1:4" x14ac:dyDescent="0.25">
      <c r="A307" s="21"/>
      <c r="B307" s="21"/>
      <c r="C307" s="21"/>
      <c r="D307" s="21"/>
    </row>
    <row r="308" spans="1:4" x14ac:dyDescent="0.25">
      <c r="A308" s="21"/>
      <c r="B308" s="21"/>
      <c r="C308" s="21"/>
      <c r="D308" s="21"/>
    </row>
    <row r="309" spans="1:4" x14ac:dyDescent="0.25">
      <c r="A309" s="21"/>
      <c r="B309" s="21"/>
      <c r="C309" s="21"/>
      <c r="D309" s="21"/>
    </row>
    <row r="310" spans="1:4" x14ac:dyDescent="0.25">
      <c r="A310" s="21"/>
      <c r="B310" s="21"/>
      <c r="C310" s="21"/>
      <c r="D310" s="21"/>
    </row>
    <row r="311" spans="1:4" x14ac:dyDescent="0.25">
      <c r="A311" s="21"/>
      <c r="B311" s="21"/>
      <c r="C311" s="21"/>
      <c r="D311" s="21"/>
    </row>
    <row r="312" spans="1:4" x14ac:dyDescent="0.25">
      <c r="A312" s="21"/>
      <c r="B312" s="21"/>
      <c r="C312" s="21"/>
      <c r="D312" s="21"/>
    </row>
    <row r="313" spans="1:4" x14ac:dyDescent="0.25">
      <c r="A313" s="21"/>
      <c r="B313" s="21"/>
      <c r="C313" s="21"/>
      <c r="D313" s="21"/>
    </row>
    <row r="314" spans="1:4" x14ac:dyDescent="0.25">
      <c r="A314" s="21"/>
      <c r="B314" s="21"/>
      <c r="C314" s="21"/>
      <c r="D314" s="21"/>
    </row>
    <row r="315" spans="1:4" x14ac:dyDescent="0.25">
      <c r="A315" s="21"/>
      <c r="B315" s="21"/>
      <c r="C315" s="21"/>
      <c r="D315" s="21"/>
    </row>
    <row r="316" spans="1:4" x14ac:dyDescent="0.25">
      <c r="A316" s="21"/>
      <c r="B316" s="21"/>
      <c r="C316" s="21"/>
      <c r="D316" s="21"/>
    </row>
    <row r="317" spans="1:4" x14ac:dyDescent="0.25">
      <c r="A317" s="21"/>
      <c r="B317" s="21"/>
      <c r="C317" s="21"/>
      <c r="D317" s="21"/>
    </row>
    <row r="318" spans="1:4" x14ac:dyDescent="0.25">
      <c r="A318" s="21"/>
      <c r="B318" s="21"/>
      <c r="C318" s="21"/>
      <c r="D318" s="21"/>
    </row>
    <row r="319" spans="1:4" x14ac:dyDescent="0.25">
      <c r="A319" s="21"/>
      <c r="B319" s="21"/>
      <c r="C319" s="21"/>
      <c r="D319" s="21"/>
    </row>
    <row r="320" spans="1:4" x14ac:dyDescent="0.25">
      <c r="A320" s="21"/>
      <c r="B320" s="21"/>
      <c r="C320" s="21"/>
      <c r="D320" s="21"/>
    </row>
    <row r="321" spans="1:4" x14ac:dyDescent="0.25">
      <c r="A321" s="21"/>
      <c r="B321" s="21"/>
      <c r="C321" s="21"/>
      <c r="D321" s="21"/>
    </row>
    <row r="322" spans="1:4" x14ac:dyDescent="0.25">
      <c r="A322" s="21"/>
      <c r="B322" s="21"/>
      <c r="C322" s="21"/>
      <c r="D322" s="21"/>
    </row>
    <row r="323" spans="1:4" x14ac:dyDescent="0.25">
      <c r="A323" s="21"/>
      <c r="B323" s="21"/>
      <c r="C323" s="21"/>
      <c r="D323" s="21"/>
    </row>
    <row r="324" spans="1:4" x14ac:dyDescent="0.25">
      <c r="A324" s="21"/>
      <c r="B324" s="21"/>
      <c r="C324" s="21"/>
      <c r="D324" s="21"/>
    </row>
    <row r="325" spans="1:4" x14ac:dyDescent="0.25">
      <c r="A325" s="21"/>
      <c r="B325" s="21"/>
      <c r="C325" s="21"/>
      <c r="D325" s="21"/>
    </row>
    <row r="326" spans="1:4" x14ac:dyDescent="0.25">
      <c r="A326" s="21"/>
      <c r="B326" s="21"/>
      <c r="C326" s="21"/>
      <c r="D326" s="21"/>
    </row>
    <row r="327" spans="1:4" x14ac:dyDescent="0.25">
      <c r="A327" s="21"/>
      <c r="B327" s="21"/>
      <c r="C327" s="21"/>
      <c r="D327" s="21"/>
    </row>
    <row r="328" spans="1:4" x14ac:dyDescent="0.25">
      <c r="A328" s="21"/>
      <c r="B328" s="21"/>
      <c r="C328" s="21"/>
      <c r="D328" s="21"/>
    </row>
    <row r="329" spans="1:4" x14ac:dyDescent="0.25">
      <c r="A329" s="21"/>
      <c r="B329" s="21"/>
      <c r="C329" s="21"/>
      <c r="D329" s="21"/>
    </row>
    <row r="330" spans="1:4" x14ac:dyDescent="0.25">
      <c r="A330" s="21"/>
      <c r="B330" s="21"/>
      <c r="C330" s="21"/>
      <c r="D330" s="21"/>
    </row>
    <row r="331" spans="1:4" x14ac:dyDescent="0.25">
      <c r="A331" s="21"/>
      <c r="B331" s="21"/>
      <c r="C331" s="21"/>
      <c r="D331" s="21"/>
    </row>
    <row r="332" spans="1:4" x14ac:dyDescent="0.25">
      <c r="A332" s="21"/>
      <c r="B332" s="21"/>
      <c r="C332" s="21"/>
      <c r="D332" s="21"/>
    </row>
    <row r="333" spans="1:4" x14ac:dyDescent="0.25">
      <c r="A333" s="21"/>
      <c r="B333" s="21"/>
      <c r="C333" s="21"/>
      <c r="D333" s="21"/>
    </row>
    <row r="334" spans="1:4" x14ac:dyDescent="0.25">
      <c r="A334" s="21"/>
      <c r="B334" s="21"/>
      <c r="C334" s="21"/>
      <c r="D334" s="21"/>
    </row>
    <row r="335" spans="1:4" x14ac:dyDescent="0.25">
      <c r="A335" s="21"/>
      <c r="B335" s="21"/>
      <c r="C335" s="21"/>
      <c r="D335" s="21"/>
    </row>
    <row r="336" spans="1:4" x14ac:dyDescent="0.25">
      <c r="A336" s="21"/>
      <c r="B336" s="21"/>
      <c r="C336" s="21"/>
      <c r="D336" s="21"/>
    </row>
    <row r="337" spans="1:4" x14ac:dyDescent="0.25">
      <c r="A337" s="21"/>
      <c r="B337" s="21"/>
      <c r="C337" s="21"/>
      <c r="D337" s="21"/>
    </row>
    <row r="338" spans="1:4" x14ac:dyDescent="0.25">
      <c r="A338" s="21"/>
      <c r="B338" s="21"/>
      <c r="C338" s="21"/>
      <c r="D338" s="21"/>
    </row>
    <row r="339" spans="1:4" x14ac:dyDescent="0.25">
      <c r="A339" s="21"/>
      <c r="B339" s="21"/>
      <c r="C339" s="21"/>
      <c r="D339" s="21"/>
    </row>
    <row r="340" spans="1:4" x14ac:dyDescent="0.25">
      <c r="A340" s="21"/>
      <c r="B340" s="21"/>
      <c r="C340" s="21"/>
      <c r="D340" s="21"/>
    </row>
    <row r="341" spans="1:4" x14ac:dyDescent="0.25">
      <c r="A341" s="21"/>
      <c r="B341" s="21"/>
      <c r="C341" s="21"/>
      <c r="D341" s="21"/>
    </row>
    <row r="342" spans="1:4" x14ac:dyDescent="0.25">
      <c r="A342" s="21"/>
      <c r="B342" s="21"/>
      <c r="C342" s="21"/>
      <c r="D342" s="21"/>
    </row>
    <row r="343" spans="1:4" x14ac:dyDescent="0.25">
      <c r="A343" s="21"/>
      <c r="B343" s="21"/>
      <c r="C343" s="21"/>
      <c r="D343" s="21"/>
    </row>
    <row r="344" spans="1:4" x14ac:dyDescent="0.25">
      <c r="A344" s="21"/>
      <c r="B344" s="21"/>
      <c r="C344" s="21"/>
      <c r="D344" s="21"/>
    </row>
    <row r="345" spans="1:4" x14ac:dyDescent="0.25">
      <c r="A345" s="21"/>
      <c r="B345" s="21"/>
      <c r="C345" s="21"/>
      <c r="D345" s="21"/>
    </row>
    <row r="346" spans="1:4" x14ac:dyDescent="0.25">
      <c r="A346" s="21"/>
      <c r="B346" s="21"/>
      <c r="C346" s="21"/>
      <c r="D346" s="21"/>
    </row>
    <row r="347" spans="1:4" x14ac:dyDescent="0.25">
      <c r="A347" s="21"/>
      <c r="B347" s="21"/>
      <c r="C347" s="21"/>
      <c r="D347" s="21"/>
    </row>
    <row r="348" spans="1:4" x14ac:dyDescent="0.25">
      <c r="A348" s="21"/>
      <c r="B348" s="21"/>
      <c r="C348" s="21"/>
      <c r="D348" s="21"/>
    </row>
    <row r="349" spans="1:4" x14ac:dyDescent="0.25">
      <c r="A349" s="21"/>
      <c r="B349" s="21"/>
      <c r="C349" s="21"/>
      <c r="D349" s="21"/>
    </row>
    <row r="350" spans="1:4" x14ac:dyDescent="0.25">
      <c r="A350" s="21"/>
      <c r="B350" s="21"/>
      <c r="C350" s="21"/>
      <c r="D350" s="21"/>
    </row>
    <row r="351" spans="1:4" x14ac:dyDescent="0.25">
      <c r="A351" s="21"/>
      <c r="B351" s="21"/>
      <c r="C351" s="21"/>
      <c r="D351" s="21"/>
    </row>
    <row r="352" spans="1:4" x14ac:dyDescent="0.25">
      <c r="A352" s="21"/>
      <c r="B352" s="21"/>
      <c r="C352" s="21"/>
      <c r="D352" s="21"/>
    </row>
    <row r="353" spans="1:4" x14ac:dyDescent="0.25">
      <c r="A353" s="21"/>
      <c r="B353" s="21"/>
      <c r="C353" s="21"/>
      <c r="D353" s="21"/>
    </row>
    <row r="354" spans="1:4" x14ac:dyDescent="0.25">
      <c r="A354" s="21"/>
      <c r="B354" s="21"/>
      <c r="C354" s="21"/>
      <c r="D354" s="21"/>
    </row>
    <row r="355" spans="1:4" x14ac:dyDescent="0.25">
      <c r="A355" s="21"/>
      <c r="B355" s="21"/>
      <c r="C355" s="21"/>
      <c r="D355" s="21"/>
    </row>
    <row r="356" spans="1:4" x14ac:dyDescent="0.25">
      <c r="A356" s="21"/>
      <c r="B356" s="21"/>
      <c r="C356" s="21"/>
      <c r="D356" s="21"/>
    </row>
    <row r="357" spans="1:4" x14ac:dyDescent="0.25">
      <c r="A357" s="21"/>
      <c r="B357" s="21"/>
      <c r="C357" s="21"/>
      <c r="D357" s="21"/>
    </row>
    <row r="358" spans="1:4" x14ac:dyDescent="0.25">
      <c r="A358" s="21"/>
      <c r="B358" s="21"/>
      <c r="C358" s="21"/>
      <c r="D358" s="21"/>
    </row>
    <row r="359" spans="1:4" x14ac:dyDescent="0.25">
      <c r="A359" s="21"/>
      <c r="B359" s="21"/>
      <c r="C359" s="21"/>
      <c r="D359" s="21"/>
    </row>
    <row r="360" spans="1:4" x14ac:dyDescent="0.25">
      <c r="A360" s="21"/>
      <c r="B360" s="21"/>
      <c r="C360" s="21"/>
      <c r="D360" s="21"/>
    </row>
    <row r="361" spans="1:4" x14ac:dyDescent="0.25">
      <c r="A361" s="21"/>
      <c r="B361" s="21"/>
      <c r="C361" s="21"/>
      <c r="D361" s="21"/>
    </row>
    <row r="362" spans="1:4" x14ac:dyDescent="0.25">
      <c r="A362" s="21"/>
      <c r="B362" s="21"/>
      <c r="C362" s="21"/>
      <c r="D362" s="21"/>
    </row>
    <row r="363" spans="1:4" x14ac:dyDescent="0.25">
      <c r="A363" s="21"/>
      <c r="B363" s="21"/>
      <c r="C363" s="21"/>
      <c r="D363" s="21"/>
    </row>
    <row r="364" spans="1:4" x14ac:dyDescent="0.25">
      <c r="A364" s="21"/>
      <c r="B364" s="21"/>
      <c r="C364" s="21"/>
      <c r="D364" s="21"/>
    </row>
    <row r="365" spans="1:4" x14ac:dyDescent="0.25">
      <c r="A365" s="21"/>
      <c r="B365" s="21"/>
      <c r="C365" s="21"/>
      <c r="D365" s="21"/>
    </row>
    <row r="366" spans="1:4" x14ac:dyDescent="0.25">
      <c r="A366" s="21"/>
      <c r="B366" s="21"/>
      <c r="C366" s="21"/>
      <c r="D366" s="21"/>
    </row>
    <row r="367" spans="1:4" x14ac:dyDescent="0.25">
      <c r="A367" s="21"/>
      <c r="B367" s="21"/>
      <c r="C367" s="21"/>
      <c r="D367" s="21"/>
    </row>
    <row r="368" spans="1:4" x14ac:dyDescent="0.25">
      <c r="A368" s="21"/>
      <c r="B368" s="21"/>
      <c r="C368" s="21"/>
      <c r="D368" s="21"/>
    </row>
    <row r="369" spans="1:4" x14ac:dyDescent="0.25">
      <c r="A369" s="21"/>
      <c r="B369" s="21"/>
      <c r="C369" s="21"/>
      <c r="D369" s="21"/>
    </row>
    <row r="370" spans="1:4" x14ac:dyDescent="0.25">
      <c r="A370" s="21"/>
      <c r="B370" s="21"/>
      <c r="C370" s="21"/>
      <c r="D370" s="21"/>
    </row>
    <row r="371" spans="1:4" x14ac:dyDescent="0.25">
      <c r="A371" s="21"/>
      <c r="B371" s="21"/>
      <c r="C371" s="21"/>
      <c r="D371" s="21"/>
    </row>
    <row r="372" spans="1:4" x14ac:dyDescent="0.25">
      <c r="A372" s="21"/>
      <c r="B372" s="21"/>
      <c r="C372" s="21"/>
      <c r="D372" s="21"/>
    </row>
    <row r="373" spans="1:4" x14ac:dyDescent="0.25">
      <c r="A373" s="21"/>
      <c r="B373" s="21"/>
      <c r="C373" s="21"/>
      <c r="D373" s="21"/>
    </row>
    <row r="374" spans="1:4" x14ac:dyDescent="0.25">
      <c r="A374" s="21"/>
      <c r="B374" s="21"/>
      <c r="C374" s="21"/>
      <c r="D374" s="21"/>
    </row>
    <row r="375" spans="1:4" x14ac:dyDescent="0.25">
      <c r="A375" s="21"/>
      <c r="B375" s="21"/>
      <c r="C375" s="21"/>
      <c r="D375" s="21"/>
    </row>
    <row r="376" spans="1:4" x14ac:dyDescent="0.25">
      <c r="A376" s="21"/>
      <c r="B376" s="21"/>
      <c r="C376" s="21"/>
      <c r="D376" s="21"/>
    </row>
    <row r="377" spans="1:4" x14ac:dyDescent="0.25">
      <c r="A377" s="21"/>
      <c r="B377" s="21"/>
      <c r="C377" s="21"/>
      <c r="D377" s="21"/>
    </row>
    <row r="378" spans="1:4" x14ac:dyDescent="0.25">
      <c r="A378" s="21"/>
      <c r="B378" s="21"/>
      <c r="C378" s="21"/>
      <c r="D378" s="21"/>
    </row>
    <row r="379" spans="1:4" x14ac:dyDescent="0.25">
      <c r="A379" s="21"/>
      <c r="B379" s="21"/>
      <c r="C379" s="21"/>
      <c r="D379" s="21"/>
    </row>
    <row r="380" spans="1:4" x14ac:dyDescent="0.25">
      <c r="A380" s="21"/>
      <c r="B380" s="21"/>
      <c r="C380" s="21"/>
      <c r="D380" s="21"/>
    </row>
    <row r="381" spans="1:4" x14ac:dyDescent="0.25">
      <c r="A381" s="21"/>
      <c r="B381" s="21"/>
      <c r="C381" s="21"/>
      <c r="D381" s="21"/>
    </row>
    <row r="382" spans="1:4" x14ac:dyDescent="0.25">
      <c r="A382" s="21"/>
      <c r="B382" s="21"/>
      <c r="C382" s="21"/>
      <c r="D382" s="21"/>
    </row>
    <row r="383" spans="1:4" x14ac:dyDescent="0.25">
      <c r="A383" s="21"/>
      <c r="B383" s="21"/>
      <c r="C383" s="21"/>
      <c r="D383" s="21"/>
    </row>
    <row r="384" spans="1:4" x14ac:dyDescent="0.25">
      <c r="A384" s="21"/>
      <c r="B384" s="21"/>
      <c r="C384" s="21"/>
      <c r="D384" s="21"/>
    </row>
    <row r="385" spans="1:4" x14ac:dyDescent="0.25">
      <c r="A385" s="21"/>
      <c r="B385" s="21"/>
      <c r="C385" s="21"/>
      <c r="D385" s="21"/>
    </row>
    <row r="386" spans="1:4" x14ac:dyDescent="0.25">
      <c r="A386" s="21"/>
      <c r="B386" s="21"/>
      <c r="C386" s="21"/>
      <c r="D386" s="21"/>
    </row>
    <row r="387" spans="1:4" x14ac:dyDescent="0.25">
      <c r="A387" s="21"/>
      <c r="B387" s="21"/>
      <c r="C387" s="21"/>
      <c r="D387" s="21"/>
    </row>
    <row r="388" spans="1:4" x14ac:dyDescent="0.25">
      <c r="A388" s="21"/>
      <c r="B388" s="21"/>
      <c r="C388" s="21"/>
      <c r="D388" s="21"/>
    </row>
    <row r="389" spans="1:4" x14ac:dyDescent="0.25">
      <c r="A389" s="21"/>
      <c r="B389" s="21"/>
      <c r="C389" s="21"/>
      <c r="D389" s="21"/>
    </row>
    <row r="390" spans="1:4" x14ac:dyDescent="0.25">
      <c r="A390" s="21"/>
      <c r="B390" s="21"/>
      <c r="C390" s="21"/>
      <c r="D390" s="21"/>
    </row>
    <row r="391" spans="1:4" x14ac:dyDescent="0.25">
      <c r="A391" s="21"/>
      <c r="B391" s="21"/>
      <c r="C391" s="21"/>
      <c r="D391" s="21"/>
    </row>
    <row r="392" spans="1:4" x14ac:dyDescent="0.25">
      <c r="A392" s="21"/>
      <c r="B392" s="21"/>
      <c r="C392" s="21"/>
      <c r="D392" s="21"/>
    </row>
    <row r="393" spans="1:4" x14ac:dyDescent="0.25">
      <c r="A393" s="21"/>
      <c r="B393" s="21"/>
      <c r="C393" s="21"/>
      <c r="D393" s="21"/>
    </row>
    <row r="394" spans="1:4" x14ac:dyDescent="0.25">
      <c r="A394" s="21"/>
      <c r="B394" s="21"/>
      <c r="C394" s="21"/>
      <c r="D394" s="21"/>
    </row>
    <row r="395" spans="1:4" x14ac:dyDescent="0.25">
      <c r="A395" s="21"/>
      <c r="B395" s="21"/>
      <c r="C395" s="21"/>
      <c r="D395" s="21"/>
    </row>
    <row r="396" spans="1:4" x14ac:dyDescent="0.25">
      <c r="A396" s="21"/>
      <c r="B396" s="21"/>
      <c r="C396" s="21"/>
      <c r="D396" s="21"/>
    </row>
    <row r="397" spans="1:4" x14ac:dyDescent="0.25">
      <c r="A397" s="21"/>
      <c r="B397" s="21"/>
      <c r="C397" s="21"/>
      <c r="D397" s="21"/>
    </row>
    <row r="398" spans="1:4" x14ac:dyDescent="0.25">
      <c r="A398" s="21"/>
      <c r="B398" s="21"/>
      <c r="C398" s="21"/>
      <c r="D398" s="21"/>
    </row>
    <row r="399" spans="1:4" x14ac:dyDescent="0.25">
      <c r="A399" s="21"/>
      <c r="B399" s="21"/>
      <c r="C399" s="21"/>
      <c r="D399" s="21"/>
    </row>
    <row r="400" spans="1:4" x14ac:dyDescent="0.25">
      <c r="A400" s="21"/>
      <c r="B400" s="21"/>
      <c r="C400" s="21"/>
      <c r="D400" s="21"/>
    </row>
    <row r="401" spans="1:4" x14ac:dyDescent="0.25">
      <c r="A401" s="21"/>
      <c r="B401" s="21"/>
      <c r="C401" s="21"/>
      <c r="D401" s="21"/>
    </row>
    <row r="402" spans="1:4" x14ac:dyDescent="0.25">
      <c r="A402" s="21"/>
      <c r="B402" s="21"/>
      <c r="C402" s="21"/>
      <c r="D402" s="21"/>
    </row>
    <row r="403" spans="1:4" x14ac:dyDescent="0.25">
      <c r="A403" s="21"/>
      <c r="B403" s="21"/>
      <c r="C403" s="21"/>
      <c r="D403" s="21"/>
    </row>
    <row r="404" spans="1:4" x14ac:dyDescent="0.25">
      <c r="A404" s="21"/>
      <c r="B404" s="21"/>
      <c r="C404" s="21"/>
      <c r="D404" s="21"/>
    </row>
    <row r="405" spans="1:4" x14ac:dyDescent="0.25">
      <c r="A405" s="21"/>
      <c r="B405" s="21"/>
      <c r="C405" s="21"/>
      <c r="D405" s="21"/>
    </row>
    <row r="406" spans="1:4" x14ac:dyDescent="0.25">
      <c r="A406" s="21"/>
      <c r="B406" s="21"/>
      <c r="C406" s="21"/>
      <c r="D406" s="21"/>
    </row>
    <row r="407" spans="1:4" x14ac:dyDescent="0.25">
      <c r="A407" s="21"/>
      <c r="B407" s="21"/>
      <c r="C407" s="21"/>
      <c r="D407" s="21"/>
    </row>
    <row r="408" spans="1:4" x14ac:dyDescent="0.25">
      <c r="A408" s="21"/>
      <c r="B408" s="21"/>
      <c r="C408" s="21"/>
      <c r="D408" s="21"/>
    </row>
    <row r="409" spans="1:4" x14ac:dyDescent="0.25">
      <c r="A409" s="21"/>
      <c r="B409" s="21"/>
      <c r="C409" s="21"/>
      <c r="D409" s="21"/>
    </row>
    <row r="410" spans="1:4" x14ac:dyDescent="0.25">
      <c r="A410" s="21"/>
      <c r="B410" s="21"/>
      <c r="C410" s="21"/>
      <c r="D410" s="21"/>
    </row>
    <row r="411" spans="1:4" x14ac:dyDescent="0.25">
      <c r="A411" s="21"/>
      <c r="B411" s="21"/>
      <c r="C411" s="21"/>
      <c r="D411" s="21"/>
    </row>
    <row r="412" spans="1:4" x14ac:dyDescent="0.25">
      <c r="A412" s="21"/>
      <c r="B412" s="21"/>
      <c r="C412" s="21"/>
      <c r="D412" s="21"/>
    </row>
    <row r="413" spans="1:4" x14ac:dyDescent="0.25">
      <c r="A413" s="21"/>
      <c r="B413" s="21"/>
      <c r="C413" s="21"/>
      <c r="D413" s="21"/>
    </row>
    <row r="414" spans="1:4" x14ac:dyDescent="0.25">
      <c r="A414" s="21"/>
      <c r="B414" s="21"/>
      <c r="C414" s="21"/>
      <c r="D414" s="21"/>
    </row>
    <row r="415" spans="1:4" x14ac:dyDescent="0.25">
      <c r="A415" s="21"/>
      <c r="B415" s="21"/>
      <c r="C415" s="21"/>
      <c r="D415" s="21"/>
    </row>
    <row r="416" spans="1:4" x14ac:dyDescent="0.25">
      <c r="A416" s="21"/>
      <c r="B416" s="21"/>
      <c r="C416" s="21"/>
      <c r="D416" s="21"/>
    </row>
    <row r="417" spans="1:4" x14ac:dyDescent="0.25">
      <c r="A417" s="21"/>
      <c r="B417" s="21"/>
      <c r="C417" s="21"/>
      <c r="D417" s="21"/>
    </row>
    <row r="418" spans="1:4" x14ac:dyDescent="0.25">
      <c r="A418" s="21"/>
      <c r="B418" s="21"/>
      <c r="C418" s="21"/>
      <c r="D418" s="21"/>
    </row>
    <row r="419" spans="1:4" x14ac:dyDescent="0.25">
      <c r="A419" s="21"/>
      <c r="B419" s="21"/>
      <c r="C419" s="21"/>
      <c r="D419" s="21"/>
    </row>
    <row r="420" spans="1:4" x14ac:dyDescent="0.25">
      <c r="A420" s="21"/>
      <c r="B420" s="21"/>
      <c r="C420" s="21"/>
      <c r="D420" s="21"/>
    </row>
    <row r="421" spans="1:4" x14ac:dyDescent="0.25">
      <c r="A421" s="21"/>
      <c r="B421" s="21"/>
      <c r="C421" s="21"/>
      <c r="D421" s="21"/>
    </row>
    <row r="422" spans="1:4" x14ac:dyDescent="0.25">
      <c r="A422" s="21"/>
      <c r="B422" s="21"/>
      <c r="C422" s="21"/>
      <c r="D422" s="21"/>
    </row>
    <row r="423" spans="1:4" x14ac:dyDescent="0.25">
      <c r="A423" s="21"/>
      <c r="B423" s="21"/>
      <c r="C423" s="21"/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/>
  </sheetViews>
  <sheetFormatPr defaultRowHeight="15" x14ac:dyDescent="0.25"/>
  <cols>
    <col min="1" max="1" width="9.140625" style="17"/>
    <col min="2" max="2" width="10.5703125" style="17" bestFit="1" customWidth="1"/>
    <col min="3" max="3" width="11.7109375" style="17" bestFit="1" customWidth="1"/>
    <col min="4" max="4" width="13.7109375" style="17" bestFit="1" customWidth="1"/>
    <col min="5" max="5" width="10.42578125" style="17" bestFit="1" customWidth="1"/>
    <col min="6" max="6" width="9.140625" style="17"/>
    <col min="7" max="16384" width="9.140625" style="2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15" x14ac:dyDescent="0.25">
      <c r="A2" s="17">
        <v>12628</v>
      </c>
      <c r="B2" s="17" t="s">
        <v>4</v>
      </c>
      <c r="C2" s="17" t="s">
        <v>42</v>
      </c>
      <c r="D2" s="17" t="s">
        <v>40</v>
      </c>
      <c r="E2" s="11">
        <v>0</v>
      </c>
      <c r="F2" s="21">
        <f>LOG10(4.3*10^5)</f>
        <v>5.6334684555795862</v>
      </c>
      <c r="I2" s="24"/>
      <c r="J2" s="24"/>
      <c r="O2" s="24"/>
    </row>
    <row r="3" spans="1:15" x14ac:dyDescent="0.25">
      <c r="A3" s="17">
        <v>12628</v>
      </c>
      <c r="B3" s="17" t="s">
        <v>4</v>
      </c>
      <c r="C3" s="17" t="s">
        <v>42</v>
      </c>
      <c r="D3" s="17" t="s">
        <v>40</v>
      </c>
      <c r="E3" s="11">
        <v>0.5</v>
      </c>
      <c r="F3" s="21">
        <f>LOG10(8.3*10^4)</f>
        <v>4.9190780923760737</v>
      </c>
      <c r="I3" s="24"/>
      <c r="J3" s="24"/>
      <c r="O3" s="24"/>
    </row>
    <row r="4" spans="1:15" x14ac:dyDescent="0.25">
      <c r="A4" s="17">
        <v>12628</v>
      </c>
      <c r="B4" s="17" t="s">
        <v>4</v>
      </c>
      <c r="C4" s="17" t="s">
        <v>42</v>
      </c>
      <c r="D4" s="17" t="s">
        <v>40</v>
      </c>
      <c r="E4" s="11">
        <v>1</v>
      </c>
      <c r="F4" s="21">
        <f>LOG10(2.03*10^4)</f>
        <v>4.3074960379132126</v>
      </c>
      <c r="I4" s="24"/>
      <c r="J4" s="24"/>
      <c r="O4" s="24"/>
    </row>
    <row r="5" spans="1:15" x14ac:dyDescent="0.25">
      <c r="A5" s="17">
        <v>12628</v>
      </c>
      <c r="B5" s="17" t="s">
        <v>4</v>
      </c>
      <c r="C5" s="17" t="s">
        <v>42</v>
      </c>
      <c r="D5" s="17" t="s">
        <v>40</v>
      </c>
      <c r="E5" s="11">
        <v>2</v>
      </c>
      <c r="F5" s="21">
        <f>LOG10(6.3*10^4)</f>
        <v>4.7993405494535821</v>
      </c>
      <c r="I5" s="24"/>
      <c r="J5" s="24"/>
      <c r="O5" s="24"/>
    </row>
    <row r="6" spans="1:15" x14ac:dyDescent="0.25">
      <c r="A6" s="17">
        <v>12628</v>
      </c>
      <c r="B6" s="17" t="s">
        <v>4</v>
      </c>
      <c r="C6" s="17" t="s">
        <v>42</v>
      </c>
      <c r="D6" s="17" t="s">
        <v>40</v>
      </c>
      <c r="E6" s="11">
        <v>3</v>
      </c>
      <c r="F6" s="21">
        <f>LOG10(10.5*10^3)</f>
        <v>4.0211892990699383</v>
      </c>
      <c r="I6" s="24"/>
      <c r="J6" s="24"/>
    </row>
    <row r="7" spans="1:15" x14ac:dyDescent="0.25">
      <c r="A7" s="17">
        <v>12628</v>
      </c>
      <c r="B7" s="17" t="s">
        <v>4</v>
      </c>
      <c r="C7" s="17" t="s">
        <v>42</v>
      </c>
      <c r="D7" s="17" t="s">
        <v>40</v>
      </c>
      <c r="E7" s="11">
        <v>4</v>
      </c>
      <c r="F7" s="21">
        <f>LOG10(13.35*10^2)</f>
        <v>3.1254812657005941</v>
      </c>
    </row>
    <row r="8" spans="1:15" x14ac:dyDescent="0.25">
      <c r="A8" s="17">
        <v>12628</v>
      </c>
      <c r="B8" s="17" t="s">
        <v>5</v>
      </c>
      <c r="C8" s="17" t="s">
        <v>42</v>
      </c>
      <c r="D8" s="17" t="s">
        <v>40</v>
      </c>
      <c r="E8" s="11">
        <v>0</v>
      </c>
      <c r="F8" s="21">
        <f>LOG10(5*10^5)</f>
        <v>5.6989700043360187</v>
      </c>
    </row>
    <row r="9" spans="1:15" x14ac:dyDescent="0.25">
      <c r="A9" s="17">
        <v>12628</v>
      </c>
      <c r="B9" s="17" t="s">
        <v>5</v>
      </c>
      <c r="C9" s="17" t="s">
        <v>42</v>
      </c>
      <c r="D9" s="17" t="s">
        <v>40</v>
      </c>
      <c r="E9" s="11">
        <v>0.5</v>
      </c>
      <c r="F9" s="21">
        <f>LOG10(7*10^4)</f>
        <v>4.8450980400142569</v>
      </c>
    </row>
    <row r="10" spans="1:15" x14ac:dyDescent="0.25">
      <c r="A10" s="17">
        <v>12628</v>
      </c>
      <c r="B10" s="17" t="s">
        <v>5</v>
      </c>
      <c r="C10" s="17" t="s">
        <v>42</v>
      </c>
      <c r="D10" s="17" t="s">
        <v>40</v>
      </c>
      <c r="E10" s="11">
        <v>1</v>
      </c>
      <c r="F10" s="21">
        <f>LOG10(4.7*10^4)</f>
        <v>4.6720978579357171</v>
      </c>
    </row>
    <row r="11" spans="1:15" x14ac:dyDescent="0.25">
      <c r="A11" s="17">
        <v>12628</v>
      </c>
      <c r="B11" s="17" t="s">
        <v>5</v>
      </c>
      <c r="C11" s="17" t="s">
        <v>42</v>
      </c>
      <c r="D11" s="17" t="s">
        <v>40</v>
      </c>
      <c r="E11" s="11">
        <v>2</v>
      </c>
      <c r="F11" s="21">
        <f>LOG10(1.13*10^4)</f>
        <v>4.0530784434834199</v>
      </c>
    </row>
    <row r="12" spans="1:15" x14ac:dyDescent="0.25">
      <c r="A12" s="17">
        <v>12628</v>
      </c>
      <c r="B12" s="17" t="s">
        <v>5</v>
      </c>
      <c r="C12" s="17" t="s">
        <v>42</v>
      </c>
      <c r="D12" s="17" t="s">
        <v>40</v>
      </c>
      <c r="E12" s="11">
        <v>3</v>
      </c>
      <c r="F12" s="21">
        <f>LOG10(5.15*10^3)</f>
        <v>3.7118072290411912</v>
      </c>
    </row>
    <row r="13" spans="1:15" x14ac:dyDescent="0.25">
      <c r="A13" s="17">
        <v>12628</v>
      </c>
      <c r="B13" s="17" t="s">
        <v>5</v>
      </c>
      <c r="C13" s="17" t="s">
        <v>42</v>
      </c>
      <c r="D13" s="17" t="s">
        <v>40</v>
      </c>
      <c r="E13" s="11">
        <v>4</v>
      </c>
      <c r="F13" s="21">
        <f>LOG10(2.65*10^3)</f>
        <v>3.4232458739368079</v>
      </c>
    </row>
    <row r="14" spans="1:15" x14ac:dyDescent="0.25">
      <c r="A14" s="17">
        <v>12628</v>
      </c>
      <c r="B14" s="17" t="s">
        <v>6</v>
      </c>
      <c r="C14" s="17" t="s">
        <v>42</v>
      </c>
      <c r="D14" s="17" t="s">
        <v>40</v>
      </c>
      <c r="E14" s="11">
        <v>0</v>
      </c>
      <c r="F14" s="21">
        <f>LOG10(5*10^5)</f>
        <v>5.6989700043360187</v>
      </c>
    </row>
    <row r="15" spans="1:15" x14ac:dyDescent="0.25">
      <c r="A15" s="17">
        <v>12628</v>
      </c>
      <c r="B15" s="17" t="s">
        <v>6</v>
      </c>
      <c r="C15" s="17" t="s">
        <v>42</v>
      </c>
      <c r="D15" s="17" t="s">
        <v>40</v>
      </c>
      <c r="E15" s="11">
        <v>0.5</v>
      </c>
      <c r="F15" s="21">
        <f>LOG10(5*10^4)</f>
        <v>4.6989700043360187</v>
      </c>
    </row>
    <row r="16" spans="1:15" x14ac:dyDescent="0.25">
      <c r="A16" s="17">
        <v>12628</v>
      </c>
      <c r="B16" s="17" t="s">
        <v>6</v>
      </c>
      <c r="C16" s="17" t="s">
        <v>42</v>
      </c>
      <c r="D16" s="17" t="s">
        <v>40</v>
      </c>
      <c r="E16" s="11">
        <v>1</v>
      </c>
      <c r="F16" s="21">
        <f>LOG10(1.73*10^4)</f>
        <v>4.238046103128795</v>
      </c>
    </row>
    <row r="17" spans="1:6" x14ac:dyDescent="0.25">
      <c r="A17" s="17">
        <v>12628</v>
      </c>
      <c r="B17" s="17" t="s">
        <v>6</v>
      </c>
      <c r="C17" s="17" t="s">
        <v>42</v>
      </c>
      <c r="D17" s="17" t="s">
        <v>40</v>
      </c>
      <c r="E17" s="11">
        <v>2</v>
      </c>
      <c r="F17" s="21">
        <f>LOG10(1.43*10^4)</f>
        <v>4.1553360374650614</v>
      </c>
    </row>
    <row r="18" spans="1:6" x14ac:dyDescent="0.25">
      <c r="A18" s="17">
        <v>12628</v>
      </c>
      <c r="B18" s="17" t="s">
        <v>6</v>
      </c>
      <c r="C18" s="17" t="s">
        <v>42</v>
      </c>
      <c r="D18" s="17" t="s">
        <v>40</v>
      </c>
      <c r="E18" s="11">
        <v>3</v>
      </c>
      <c r="F18" s="21">
        <f>LOG10(8*10^3)</f>
        <v>3.9030899869919438</v>
      </c>
    </row>
    <row r="19" spans="1:6" x14ac:dyDescent="0.25">
      <c r="A19" s="17">
        <v>12628</v>
      </c>
      <c r="B19" s="17" t="s">
        <v>6</v>
      </c>
      <c r="C19" s="17" t="s">
        <v>42</v>
      </c>
      <c r="D19" s="17" t="s">
        <v>40</v>
      </c>
      <c r="E19" s="11">
        <v>4</v>
      </c>
      <c r="F19" s="21">
        <f>LOG10(1.6*10^4)</f>
        <v>4.204119982655925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1.1406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J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5.6720978579357171</v>
      </c>
      <c r="C2" s="11">
        <f t="shared" ref="C2:C19" si="0">$G$5+LOG10($G$2*EXP(-$G$3*A2)+(1-$G$2)*EXP(-$G$4*A2))</f>
        <v>5.6274389819528512</v>
      </c>
      <c r="D2" s="11">
        <f t="shared" ref="D2:D19" si="1" xml:space="preserve"> (B2 - C2)^2</f>
        <v>1.9944152040529957E-3</v>
      </c>
      <c r="E2" s="5"/>
      <c r="F2" s="5" t="s">
        <v>15</v>
      </c>
      <c r="G2" s="22">
        <v>0.96090371659726426</v>
      </c>
      <c r="H2" s="22">
        <v>2.8830457595388118E-2</v>
      </c>
      <c r="I2" s="5"/>
      <c r="J2" s="5"/>
      <c r="K2" s="5"/>
      <c r="L2" s="6" t="s">
        <v>20</v>
      </c>
      <c r="M2" s="22">
        <v>0.11462119529157519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4.1846914308175984</v>
      </c>
      <c r="C3" s="11">
        <f t="shared" si="0"/>
        <v>4.4205904798066431</v>
      </c>
      <c r="D3" s="11">
        <f t="shared" si="1"/>
        <v>5.5648361313935704E-2</v>
      </c>
      <c r="E3" s="5"/>
      <c r="F3" s="5" t="s">
        <v>16</v>
      </c>
      <c r="G3" s="22">
        <v>7.108192687034542</v>
      </c>
      <c r="H3" s="22">
        <v>2.6325750561979411</v>
      </c>
      <c r="I3" s="5"/>
      <c r="J3" s="5"/>
      <c r="K3" s="5"/>
      <c r="L3" s="6" t="s">
        <v>23</v>
      </c>
      <c r="M3" s="22">
        <f>SQRT(M2)</f>
        <v>0.33855752139270984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4.0413926851582254</v>
      </c>
      <c r="C4" s="11">
        <f t="shared" si="0"/>
        <v>4.1249522293620835</v>
      </c>
      <c r="D4" s="11">
        <f t="shared" si="1"/>
        <v>6.9821974275565222E-3</v>
      </c>
      <c r="E4" s="5"/>
      <c r="F4" s="5" t="s">
        <v>17</v>
      </c>
      <c r="G4" s="22">
        <v>0.24320403385217293</v>
      </c>
      <c r="H4" s="22">
        <v>0.21225643529457539</v>
      </c>
      <c r="I4" s="5"/>
      <c r="J4" s="5"/>
      <c r="K4" s="5"/>
      <c r="L4" s="6" t="s">
        <v>21</v>
      </c>
      <c r="M4" s="22">
        <v>0.81138409347269247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3.9684829485539352</v>
      </c>
      <c r="C5" s="11">
        <f t="shared" si="0"/>
        <v>4.0083417434080868</v>
      </c>
      <c r="D5" s="11">
        <f t="shared" si="1"/>
        <v>1.5887235272253387E-3</v>
      </c>
      <c r="E5" s="5"/>
      <c r="F5" s="5" t="s">
        <v>14</v>
      </c>
      <c r="G5" s="22">
        <v>5.6274389819528512</v>
      </c>
      <c r="H5" s="22">
        <v>0.19544365204363592</v>
      </c>
      <c r="I5" s="5"/>
      <c r="J5" s="5"/>
      <c r="K5" s="5"/>
      <c r="L5" s="6" t="s">
        <v>22</v>
      </c>
      <c r="M5" s="22">
        <v>0.77096639921684085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4.2671717284030137</v>
      </c>
      <c r="C6" s="11">
        <f t="shared" si="0"/>
        <v>3.9027079586153692</v>
      </c>
      <c r="D6" s="11">
        <f t="shared" si="1"/>
        <v>0.13283383948782113</v>
      </c>
      <c r="E6" s="5"/>
      <c r="F6" s="5"/>
      <c r="G6" s="22"/>
      <c r="H6" s="22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4.2174839442139067</v>
      </c>
      <c r="C7" s="11">
        <f t="shared" si="0"/>
        <v>3.797085776614177</v>
      </c>
      <c r="D7" s="11">
        <f t="shared" si="1"/>
        <v>0.17673461932121043</v>
      </c>
      <c r="E7" s="5"/>
      <c r="F7" s="4" t="s">
        <v>24</v>
      </c>
      <c r="G7" s="5"/>
      <c r="H7" s="7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5.6989700043360187</v>
      </c>
      <c r="C8" s="11">
        <f t="shared" si="0"/>
        <v>5.6274389819528512</v>
      </c>
      <c r="D8" s="11">
        <f t="shared" si="1"/>
        <v>5.1166871631812176E-3</v>
      </c>
      <c r="E8" s="5"/>
      <c r="F8" s="5" t="s">
        <v>28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4.7242758696007892</v>
      </c>
      <c r="C9" s="11">
        <f t="shared" si="0"/>
        <v>4.4205904798066431</v>
      </c>
      <c r="D9" s="11">
        <f t="shared" si="1"/>
        <v>9.2224815974422433E-2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4.3673559210260189</v>
      </c>
      <c r="C10" s="11">
        <f t="shared" si="0"/>
        <v>4.1249522293620835</v>
      </c>
      <c r="D10" s="11">
        <f t="shared" si="1"/>
        <v>5.8759549732304253E-2</v>
      </c>
      <c r="E10" s="5"/>
      <c r="F10" s="5" t="s">
        <v>28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4.0791812460476251</v>
      </c>
      <c r="C11" s="11">
        <f t="shared" si="0"/>
        <v>4.0083417434080868</v>
      </c>
      <c r="D11" s="11">
        <f t="shared" si="1"/>
        <v>5.018235134217155E-3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3.0934216851622351</v>
      </c>
      <c r="C12" s="11">
        <f t="shared" si="0"/>
        <v>3.9027079586153692</v>
      </c>
      <c r="D12" s="11">
        <f t="shared" si="1"/>
        <v>0.65494427239966091</v>
      </c>
      <c r="E12" s="5"/>
      <c r="F12" s="31" t="s">
        <v>29</v>
      </c>
      <c r="G12" s="32"/>
      <c r="H12" s="32"/>
      <c r="I12" s="32"/>
      <c r="J12" s="32"/>
      <c r="K12" s="32"/>
      <c r="L12" s="32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4.0064660422492313</v>
      </c>
      <c r="C13" s="11">
        <f t="shared" si="0"/>
        <v>3.797085776614177</v>
      </c>
      <c r="D13" s="11">
        <f t="shared" si="1"/>
        <v>4.3840095637405901E-2</v>
      </c>
      <c r="E13" s="5"/>
      <c r="F13" s="32"/>
      <c r="G13" s="32"/>
      <c r="H13" s="32"/>
      <c r="I13" s="32"/>
      <c r="J13" s="32"/>
      <c r="K13" s="32"/>
      <c r="L13" s="32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5.509202522331103</v>
      </c>
      <c r="C14" s="11">
        <f t="shared" si="0"/>
        <v>5.6274389819528512</v>
      </c>
      <c r="D14" s="11">
        <f t="shared" si="1"/>
        <v>1.3979860383885299E-2</v>
      </c>
      <c r="E14" s="5"/>
      <c r="F14" s="32"/>
      <c r="G14" s="32"/>
      <c r="H14" s="32"/>
      <c r="I14" s="32"/>
      <c r="J14" s="32"/>
      <c r="K14" s="32"/>
      <c r="L14" s="32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4.3617278360175931</v>
      </c>
      <c r="C15" s="11">
        <f t="shared" si="0"/>
        <v>4.4205904798066431</v>
      </c>
      <c r="D15" s="11">
        <f t="shared" si="1"/>
        <v>3.4648108338365914E-3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3.8864907251724818</v>
      </c>
      <c r="C16" s="11">
        <f t="shared" si="0"/>
        <v>4.1249522293620835</v>
      </c>
      <c r="D16" s="11">
        <f t="shared" si="1"/>
        <v>5.6863888980367407E-2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4.2855573090077739</v>
      </c>
      <c r="C17" s="11">
        <f t="shared" si="0"/>
        <v>4.0083417434080868</v>
      </c>
      <c r="D17" s="11">
        <f t="shared" si="1"/>
        <v>7.6848469810754411E-2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3.9469432706978256</v>
      </c>
      <c r="C18" s="11">
        <f t="shared" si="0"/>
        <v>3.9027079586153692</v>
      </c>
      <c r="D18" s="11">
        <f t="shared" si="1"/>
        <v>1.9567628350323084E-3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3.3324384599156054</v>
      </c>
      <c r="C19" s="11">
        <f t="shared" si="0"/>
        <v>3.797085776614177</v>
      </c>
      <c r="D19" s="11">
        <f t="shared" si="1"/>
        <v>0.2158971289151827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1.6046967340820526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>$G$5+LOG10($G$2*EXP(-$G$3*A23)+(1-$G$2)*EXP(-$G$4*A23))</f>
        <v>5.6274389819528512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0.01</v>
      </c>
      <c r="B24" s="21"/>
      <c r="C24" s="21">
        <f t="shared" ref="C24:C25" si="2">$G$5+LOG10($G$2*EXP(-$G$3*A24)+(1-$G$2)*EXP(-$G$4*A24))</f>
        <v>5.5977733889912242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0.02</v>
      </c>
      <c r="B25" s="21"/>
      <c r="C25" s="21">
        <f t="shared" si="2"/>
        <v>5.5681897204494017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0.03</v>
      </c>
      <c r="B26" s="21"/>
      <c r="C26" s="21">
        <f t="shared" ref="C26:C89" si="3">$G$5+LOG10($G$2*EXP(-$G$3*A26)+(1-$G$2)*EXP(-$G$4*A26))</f>
        <v>5.5386932789906673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0.04</v>
      </c>
      <c r="B27" s="21"/>
      <c r="C27" s="21">
        <f t="shared" si="3"/>
        <v>5.5092896731681327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0.05</v>
      </c>
      <c r="B28" s="21"/>
      <c r="C28" s="21">
        <f t="shared" si="3"/>
        <v>5.479984829886746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0.06</v>
      </c>
      <c r="B29" s="21"/>
      <c r="C29" s="21">
        <f t="shared" si="3"/>
        <v>5.4507850066269281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7.0000000000000007E-2</v>
      </c>
      <c r="B30" s="21"/>
      <c r="C30" s="21">
        <f t="shared" si="3"/>
        <v>5.4216968032954265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0.08</v>
      </c>
      <c r="B31" s="21"/>
      <c r="C31" s="21">
        <f t="shared" si="3"/>
        <v>5.3927271735510969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0.09</v>
      </c>
      <c r="B32" s="21"/>
      <c r="C32" s="21">
        <f t="shared" si="3"/>
        <v>5.3638834354344409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0.1</v>
      </c>
      <c r="B33" s="21"/>
      <c r="C33" s="21">
        <f t="shared" si="3"/>
        <v>5.3351732811100385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0.11</v>
      </c>
      <c r="B34" s="21"/>
      <c r="C34" s="21">
        <f t="shared" si="3"/>
        <v>5.3066047855107525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0.12</v>
      </c>
      <c r="B35" s="21"/>
      <c r="C35" s="21">
        <f t="shared" si="3"/>
        <v>5.2781864136520777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0.13</v>
      </c>
      <c r="B36" s="21"/>
      <c r="C36" s="21">
        <f t="shared" si="3"/>
        <v>5.249927026364599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0.14000000000000001</v>
      </c>
      <c r="B37" s="21"/>
      <c r="C37" s="21">
        <f t="shared" si="3"/>
        <v>5.2218358841728474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0.15</v>
      </c>
      <c r="B38" s="21"/>
      <c r="C38" s="21">
        <f t="shared" si="3"/>
        <v>5.193922649030263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0.16</v>
      </c>
      <c r="B39" s="21"/>
      <c r="C39" s="21">
        <f t="shared" si="3"/>
        <v>5.1661973836034214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0.17</v>
      </c>
      <c r="B40" s="21"/>
      <c r="C40" s="21">
        <f t="shared" si="3"/>
        <v>5.1386705477847858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0.18</v>
      </c>
      <c r="B41" s="21"/>
      <c r="C41" s="21">
        <f t="shared" si="3"/>
        <v>5.1113529921029492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0.19</v>
      </c>
      <c r="B42" s="21"/>
      <c r="C42" s="21">
        <f t="shared" si="3"/>
        <v>5.0842559476936762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0.2</v>
      </c>
      <c r="B43" s="21"/>
      <c r="C43" s="21">
        <f t="shared" si="3"/>
        <v>5.0573910124950316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0.21</v>
      </c>
      <c r="B44" s="21"/>
      <c r="C44" s="21">
        <f t="shared" si="3"/>
        <v>5.0307701333366746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0.22</v>
      </c>
      <c r="B45" s="21"/>
      <c r="C45" s="21">
        <f t="shared" si="3"/>
        <v>5.0044055836081327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0.23</v>
      </c>
      <c r="B46" s="21"/>
      <c r="C46" s="21">
        <f t="shared" si="3"/>
        <v>4.978309936214667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0.24</v>
      </c>
      <c r="B47" s="21"/>
      <c r="C47" s="21">
        <f t="shared" si="3"/>
        <v>4.9524960315633182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0.25</v>
      </c>
      <c r="B48" s="21"/>
      <c r="C48" s="21">
        <f t="shared" si="3"/>
        <v>4.9269769403667283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0.26</v>
      </c>
      <c r="B49" s="21"/>
      <c r="C49" s="21">
        <f t="shared" si="3"/>
        <v>4.901765921109221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0.27</v>
      </c>
      <c r="B50" s="21"/>
      <c r="C50" s="21">
        <f t="shared" si="3"/>
        <v>4.8768763720887147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0.28000000000000003</v>
      </c>
      <c r="B51" s="21"/>
      <c r="C51" s="21">
        <f t="shared" si="3"/>
        <v>4.8523217780295482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0.28999999999999998</v>
      </c>
      <c r="B52" s="21"/>
      <c r="C52" s="21">
        <f t="shared" si="3"/>
        <v>4.8281156513548584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0.3</v>
      </c>
      <c r="B53" s="21"/>
      <c r="C53" s="21">
        <f t="shared" si="3"/>
        <v>4.8042714683117982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0.31</v>
      </c>
      <c r="B54" s="21"/>
      <c r="C54" s="21">
        <f t="shared" si="3"/>
        <v>4.7808026002573794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0.32</v>
      </c>
      <c r="B55" s="21"/>
      <c r="C55" s="21">
        <f t="shared" si="3"/>
        <v>4.7577222405347896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0.33</v>
      </c>
      <c r="B56" s="21"/>
      <c r="C56" s="21">
        <f t="shared" si="3"/>
        <v>4.7350433274971522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0.34</v>
      </c>
      <c r="B57" s="21"/>
      <c r="C57" s="21">
        <f t="shared" si="3"/>
        <v>4.7127784643643373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0.35</v>
      </c>
      <c r="B58" s="21"/>
      <c r="C58" s="21">
        <f t="shared" si="3"/>
        <v>4.6909398367248869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0.36</v>
      </c>
      <c r="B59" s="21"/>
      <c r="C59" s="21">
        <f t="shared" si="3"/>
        <v>4.6695391286147991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0.37</v>
      </c>
      <c r="B60" s="21"/>
      <c r="C60" s="21">
        <f t="shared" si="3"/>
        <v>4.6485874382132391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0.38</v>
      </c>
      <c r="B61" s="21"/>
      <c r="C61" s="21">
        <f t="shared" si="3"/>
        <v>4.6280951942872832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0.39</v>
      </c>
      <c r="B62" s="21"/>
      <c r="C62" s="21">
        <f t="shared" si="3"/>
        <v>4.6080720745887795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0.4</v>
      </c>
      <c r="B63" s="21"/>
      <c r="C63" s="21">
        <f t="shared" si="3"/>
        <v>4.588526927451932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0.41</v>
      </c>
      <c r="B64" s="21"/>
      <c r="C64" s="21">
        <f t="shared" si="3"/>
        <v>4.5694676978564015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0.42</v>
      </c>
      <c r="B65" s="21"/>
      <c r="C65" s="21">
        <f t="shared" si="3"/>
        <v>4.5509013592046461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0.43</v>
      </c>
      <c r="B66" s="21"/>
      <c r="C66" s="21">
        <f t="shared" si="3"/>
        <v>4.5328338520121125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0.44</v>
      </c>
      <c r="B67" s="21"/>
      <c r="C67" s="21">
        <f t="shared" si="3"/>
        <v>4.5152700306241442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0.45</v>
      </c>
      <c r="B68" s="21"/>
      <c r="C68" s="21">
        <f t="shared" si="3"/>
        <v>4.4982136189550692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0.46</v>
      </c>
      <c r="B69" s="21"/>
      <c r="C69" s="21">
        <f t="shared" si="3"/>
        <v>4.4816671760953586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0.47</v>
      </c>
      <c r="B70" s="21"/>
      <c r="C70" s="21">
        <f t="shared" si="3"/>
        <v>4.4656320724557705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0.48</v>
      </c>
      <c r="B71" s="21"/>
      <c r="C71" s="21">
        <f t="shared" si="3"/>
        <v>4.4501084769183841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0.49</v>
      </c>
      <c r="B72" s="21"/>
      <c r="C72" s="21">
        <f t="shared" si="3"/>
        <v>4.4350953552495911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0.5</v>
      </c>
      <c r="B73" s="21"/>
      <c r="C73" s="21">
        <f t="shared" si="3"/>
        <v>4.4205904798066431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0.51</v>
      </c>
      <c r="B74" s="21"/>
      <c r="C74" s="21">
        <f t="shared" si="3"/>
        <v>4.406590450344809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0.52</v>
      </c>
      <c r="B75" s="21"/>
      <c r="C75" s="21">
        <f t="shared" si="3"/>
        <v>4.3930907255142113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0.53</v>
      </c>
      <c r="B76" s="21"/>
      <c r="C76" s="21">
        <f t="shared" si="3"/>
        <v>4.3800856644312383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0.54</v>
      </c>
      <c r="B77" s="21"/>
      <c r="C77" s="21">
        <f t="shared" si="3"/>
        <v>4.3675685775257564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0.55000000000000004</v>
      </c>
      <c r="B78" s="21"/>
      <c r="C78" s="21">
        <f t="shared" si="3"/>
        <v>4.3555317857075764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0.56000000000000005</v>
      </c>
      <c r="B79" s="21"/>
      <c r="C79" s="21">
        <f t="shared" si="3"/>
        <v>4.3439666867681987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0.56999999999999995</v>
      </c>
      <c r="B80" s="21"/>
      <c r="C80" s="21">
        <f t="shared" si="3"/>
        <v>4.3328638278395317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0.57999999999999996</v>
      </c>
      <c r="B81" s="21"/>
      <c r="C81" s="21">
        <f t="shared" si="3"/>
        <v>4.3222129826714157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0.59</v>
      </c>
      <c r="B82" s="21"/>
      <c r="C82" s="21">
        <f t="shared" si="3"/>
        <v>4.3120032324643169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0.6</v>
      </c>
      <c r="B83" s="21"/>
      <c r="C83" s="21">
        <f t="shared" si="3"/>
        <v>4.3022230490009337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0.61</v>
      </c>
      <c r="B84" s="21"/>
      <c r="C84" s="21">
        <f t="shared" si="3"/>
        <v>4.2928603788581254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0.62</v>
      </c>
      <c r="B85" s="21"/>
      <c r="C85" s="21">
        <f t="shared" si="3"/>
        <v>4.283902727544822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0.63</v>
      </c>
      <c r="B86" s="21"/>
      <c r="C86" s="21">
        <f t="shared" si="3"/>
        <v>4.2753372424981784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0.64</v>
      </c>
      <c r="B87" s="21"/>
      <c r="C87" s="21">
        <f t="shared" si="3"/>
        <v>4.2671507939744915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0.65</v>
      </c>
      <c r="B88" s="21"/>
      <c r="C88" s="21">
        <f t="shared" si="3"/>
        <v>4.2593300529883766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0.66</v>
      </c>
      <c r="B89" s="21"/>
      <c r="C89" s="21">
        <f t="shared" si="3"/>
        <v>4.2518615655787109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0.67</v>
      </c>
      <c r="B90" s="21"/>
      <c r="C90" s="21">
        <f t="shared" ref="C90:C153" si="4">$G$5+LOG10($G$2*EXP(-$G$3*A90)+(1-$G$2)*EXP(-$G$4*A90))</f>
        <v>4.2447318228083137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0.68</v>
      </c>
      <c r="B91" s="21"/>
      <c r="C91" s="21">
        <f t="shared" si="4"/>
        <v>4.2379273260322083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0.69</v>
      </c>
      <c r="B92" s="21"/>
      <c r="C92" s="21">
        <f t="shared" si="4"/>
        <v>4.2314346470931348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0.7</v>
      </c>
      <c r="B93" s="21"/>
      <c r="C93" s="21">
        <f t="shared" si="4"/>
        <v>4.2252404832198103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0.71</v>
      </c>
      <c r="B94" s="21"/>
      <c r="C94" s="21">
        <f t="shared" si="4"/>
        <v>4.2193317065110154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0.72</v>
      </c>
      <c r="B95" s="21"/>
      <c r="C95" s="21">
        <f t="shared" si="4"/>
        <v>4.2136954079853917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0.73</v>
      </c>
      <c r="B96" s="21"/>
      <c r="C96" s="21">
        <f t="shared" si="4"/>
        <v>4.2083189362617439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0.74</v>
      </c>
      <c r="B97" s="21"/>
      <c r="C97" s="21">
        <f t="shared" si="4"/>
        <v>4.2031899310072394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0.75</v>
      </c>
      <c r="B98" s="21"/>
      <c r="C98" s="21">
        <f t="shared" si="4"/>
        <v>4.1982963513511713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0.76</v>
      </c>
      <c r="B99" s="21"/>
      <c r="C99" s="21">
        <f t="shared" si="4"/>
        <v>4.193626499510243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0.77</v>
      </c>
      <c r="B100" s="21"/>
      <c r="C100" s="21">
        <f t="shared" si="4"/>
        <v>4.1891690399082693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0.78</v>
      </c>
      <c r="B101" s="21"/>
      <c r="C101" s="21">
        <f t="shared" si="4"/>
        <v>4.1849130140997994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0.79</v>
      </c>
      <c r="B102" s="21"/>
      <c r="C102" s="21">
        <f t="shared" si="4"/>
        <v>4.1808478518242795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0.8</v>
      </c>
      <c r="B103" s="21"/>
      <c r="C103" s="21">
        <f t="shared" si="4"/>
        <v>4.1769633785263123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0.81</v>
      </c>
      <c r="B104" s="21"/>
      <c r="C104" s="21">
        <f t="shared" si="4"/>
        <v>4.1732498196793246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0.82</v>
      </c>
      <c r="B105" s="21"/>
      <c r="C105" s="21">
        <f t="shared" si="4"/>
        <v>4.1696978022457705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0.83</v>
      </c>
      <c r="B106" s="21"/>
      <c r="C106" s="21">
        <f t="shared" si="4"/>
        <v>4.1662983535979032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0.84</v>
      </c>
      <c r="B107" s="21"/>
      <c r="C107" s="21">
        <f t="shared" si="4"/>
        <v>4.1630428982101755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0.85</v>
      </c>
      <c r="B108" s="21"/>
      <c r="C108" s="21">
        <f t="shared" si="4"/>
        <v>4.159923252418408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0.86</v>
      </c>
      <c r="B109" s="21"/>
      <c r="C109" s="21">
        <f t="shared" si="4"/>
        <v>4.1569316175228197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0.87</v>
      </c>
      <c r="B110" s="21"/>
      <c r="C110" s="21">
        <f t="shared" si="4"/>
        <v>4.1540605714925487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0.88</v>
      </c>
      <c r="B111" s="21"/>
      <c r="C111" s="21">
        <f t="shared" si="4"/>
        <v>4.1513030595090559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0.89</v>
      </c>
      <c r="B112" s="21"/>
      <c r="C112" s="21">
        <f t="shared" si="4"/>
        <v>4.1486523835652669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0.9</v>
      </c>
      <c r="B113" s="21"/>
      <c r="C113" s="21">
        <f t="shared" si="4"/>
        <v>4.1461021913169587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0.91</v>
      </c>
      <c r="B114" s="21"/>
      <c r="C114" s="21">
        <f t="shared" si="4"/>
        <v>4.1436464643630133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0.92</v>
      </c>
      <c r="B115" s="21"/>
      <c r="C115" s="21">
        <f t="shared" si="4"/>
        <v>4.1412795061120207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0.93</v>
      </c>
      <c r="B116" s="21"/>
      <c r="C116" s="21">
        <f t="shared" si="4"/>
        <v>4.1389959293745537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0.94</v>
      </c>
      <c r="B117" s="21"/>
      <c r="C117" s="21">
        <f t="shared" si="4"/>
        <v>4.1367906438033408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0.95</v>
      </c>
      <c r="B118" s="21"/>
      <c r="C118" s="21">
        <f t="shared" si="4"/>
        <v>4.1346588432876246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0.96</v>
      </c>
      <c r="B119" s="21"/>
      <c r="C119" s="21">
        <f t="shared" si="4"/>
        <v>4.1325959933933074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0.97</v>
      </c>
      <c r="B120" s="21"/>
      <c r="C120" s="21">
        <f t="shared" si="4"/>
        <v>4.1305978189270238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0.98</v>
      </c>
      <c r="B121" s="21"/>
      <c r="C121" s="21">
        <f t="shared" si="4"/>
        <v>4.1286602916900028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0.99</v>
      </c>
      <c r="B122" s="21"/>
      <c r="C122" s="21">
        <f t="shared" si="4"/>
        <v>4.1267796184765535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5">
      <c r="A123" s="21">
        <v>1</v>
      </c>
      <c r="B123" s="21"/>
      <c r="C123" s="21">
        <f t="shared" si="4"/>
        <v>4.1249522293620835</v>
      </c>
      <c r="D123" s="21"/>
    </row>
    <row r="124" spans="1:34" x14ac:dyDescent="0.25">
      <c r="A124" s="21">
        <v>1.01</v>
      </c>
      <c r="B124" s="21"/>
      <c r="C124" s="21">
        <f t="shared" si="4"/>
        <v>4.1231747663166969</v>
      </c>
      <c r="D124" s="21"/>
    </row>
    <row r="125" spans="1:34" x14ac:dyDescent="0.25">
      <c r="A125" s="21">
        <v>1.02</v>
      </c>
      <c r="B125" s="21"/>
      <c r="C125" s="21">
        <f t="shared" si="4"/>
        <v>4.1214440721726318</v>
      </c>
      <c r="D125" s="21"/>
    </row>
    <row r="126" spans="1:34" x14ac:dyDescent="0.25">
      <c r="A126" s="21">
        <v>1.03</v>
      </c>
      <c r="B126" s="21"/>
      <c r="C126" s="21">
        <f t="shared" si="4"/>
        <v>4.1197571799668804</v>
      </c>
      <c r="D126" s="21"/>
    </row>
    <row r="127" spans="1:34" x14ac:dyDescent="0.25">
      <c r="A127" s="21">
        <v>1.04</v>
      </c>
      <c r="B127" s="21"/>
      <c r="C127" s="21">
        <f t="shared" si="4"/>
        <v>4.118111302674337</v>
      </c>
      <c r="D127" s="21"/>
    </row>
    <row r="128" spans="1:34" x14ac:dyDescent="0.25">
      <c r="A128" s="21">
        <v>1.05</v>
      </c>
      <c r="B128" s="21"/>
      <c r="C128" s="21">
        <f t="shared" si="4"/>
        <v>4.1165038233415991</v>
      </c>
      <c r="D128" s="21"/>
    </row>
    <row r="129" spans="1:4" x14ac:dyDescent="0.25">
      <c r="A129" s="21">
        <v>1.06</v>
      </c>
      <c r="B129" s="21"/>
      <c r="C129" s="21">
        <f t="shared" si="4"/>
        <v>4.1149322856270398</v>
      </c>
      <c r="D129" s="21"/>
    </row>
    <row r="130" spans="1:4" x14ac:dyDescent="0.25">
      <c r="A130" s="21">
        <v>1.07</v>
      </c>
      <c r="B130" s="21"/>
      <c r="C130" s="21">
        <f t="shared" si="4"/>
        <v>4.1133943847489434</v>
      </c>
      <c r="D130" s="21"/>
    </row>
    <row r="131" spans="1:4" x14ac:dyDescent="0.25">
      <c r="A131" s="21">
        <v>1.08</v>
      </c>
      <c r="B131" s="21"/>
      <c r="C131" s="21">
        <f t="shared" si="4"/>
        <v>4.1118879588402164</v>
      </c>
      <c r="D131" s="21"/>
    </row>
    <row r="132" spans="1:4" x14ac:dyDescent="0.25">
      <c r="A132" s="21">
        <v>1.0900000000000001</v>
      </c>
      <c r="B132" s="21"/>
      <c r="C132" s="21">
        <f t="shared" si="4"/>
        <v>4.1104109807054803</v>
      </c>
      <c r="D132" s="21"/>
    </row>
    <row r="133" spans="1:4" x14ac:dyDescent="0.25">
      <c r="A133" s="21">
        <v>1.1000000000000001</v>
      </c>
      <c r="B133" s="21"/>
      <c r="C133" s="21">
        <f t="shared" si="4"/>
        <v>4.1089615499740564</v>
      </c>
      <c r="D133" s="21"/>
    </row>
    <row r="134" spans="1:4" x14ac:dyDescent="0.25">
      <c r="A134" s="21">
        <v>1.1100000000000001</v>
      </c>
      <c r="B134" s="21"/>
      <c r="C134" s="21">
        <f t="shared" si="4"/>
        <v>4.1075378856405313</v>
      </c>
      <c r="D134" s="21"/>
    </row>
    <row r="135" spans="1:4" x14ac:dyDescent="0.25">
      <c r="A135" s="21">
        <v>1.1200000000000001</v>
      </c>
      <c r="B135" s="21"/>
      <c r="C135" s="21">
        <f t="shared" si="4"/>
        <v>4.1061383189830591</v>
      </c>
      <c r="D135" s="21"/>
    </row>
    <row r="136" spans="1:4" x14ac:dyDescent="0.25">
      <c r="A136" s="21">
        <v>1.1299999999999999</v>
      </c>
      <c r="B136" s="21"/>
      <c r="C136" s="21">
        <f t="shared" si="4"/>
        <v>4.1047612868484249</v>
      </c>
      <c r="D136" s="21"/>
    </row>
    <row r="137" spans="1:4" x14ac:dyDescent="0.25">
      <c r="A137" s="21">
        <v>1.1399999999999999</v>
      </c>
      <c r="B137" s="21"/>
      <c r="C137" s="21">
        <f t="shared" si="4"/>
        <v>4.1034053252919467</v>
      </c>
      <c r="D137" s="21"/>
    </row>
    <row r="138" spans="1:4" x14ac:dyDescent="0.25">
      <c r="A138" s="21">
        <v>1.1499999999999999</v>
      </c>
      <c r="B138" s="21"/>
      <c r="C138" s="21">
        <f t="shared" si="4"/>
        <v>4.1020690635596688</v>
      </c>
      <c r="D138" s="21"/>
    </row>
    <row r="139" spans="1:4" x14ac:dyDescent="0.25">
      <c r="A139" s="21">
        <v>1.1599999999999999</v>
      </c>
      <c r="B139" s="21"/>
      <c r="C139" s="21">
        <f t="shared" si="4"/>
        <v>4.1007512183998207</v>
      </c>
      <c r="D139" s="21"/>
    </row>
    <row r="140" spans="1:4" x14ac:dyDescent="0.25">
      <c r="A140" s="21">
        <v>1.17</v>
      </c>
      <c r="B140" s="21"/>
      <c r="C140" s="21">
        <f t="shared" si="4"/>
        <v>4.0994505886902335</v>
      </c>
      <c r="D140" s="21"/>
    </row>
    <row r="141" spans="1:4" x14ac:dyDescent="0.25">
      <c r="A141" s="21">
        <v>1.18</v>
      </c>
      <c r="B141" s="21"/>
      <c r="C141" s="21">
        <f t="shared" si="4"/>
        <v>4.0981660503682882</v>
      </c>
      <c r="D141" s="21"/>
    </row>
    <row r="142" spans="1:4" x14ac:dyDescent="0.25">
      <c r="A142" s="21">
        <v>1.19</v>
      </c>
      <c r="B142" s="21"/>
      <c r="C142" s="21">
        <f t="shared" si="4"/>
        <v>4.0968965516499321</v>
      </c>
      <c r="D142" s="21"/>
    </row>
    <row r="143" spans="1:4" x14ac:dyDescent="0.25">
      <c r="A143" s="21">
        <v>1.2</v>
      </c>
      <c r="B143" s="21"/>
      <c r="C143" s="21">
        <f t="shared" si="4"/>
        <v>4.0956411085244273</v>
      </c>
      <c r="D143" s="21"/>
    </row>
    <row r="144" spans="1:4" x14ac:dyDescent="0.25">
      <c r="A144" s="21">
        <v>1.21</v>
      </c>
      <c r="B144" s="21"/>
      <c r="C144" s="21">
        <f t="shared" si="4"/>
        <v>4.0943988005116623</v>
      </c>
      <c r="D144" s="21"/>
    </row>
    <row r="145" spans="1:4" x14ac:dyDescent="0.25">
      <c r="A145" s="21">
        <v>1.22</v>
      </c>
      <c r="B145" s="21"/>
      <c r="C145" s="21">
        <f t="shared" si="4"/>
        <v>4.0931687666690886</v>
      </c>
      <c r="D145" s="21"/>
    </row>
    <row r="146" spans="1:4" x14ac:dyDescent="0.25">
      <c r="A146" s="21">
        <v>1.23</v>
      </c>
      <c r="B146" s="21"/>
      <c r="C146" s="21">
        <f t="shared" si="4"/>
        <v>4.0919502018357079</v>
      </c>
      <c r="D146" s="21"/>
    </row>
    <row r="147" spans="1:4" x14ac:dyDescent="0.25">
      <c r="A147" s="21">
        <v>1.24</v>
      </c>
      <c r="B147" s="21"/>
      <c r="C147" s="21">
        <f t="shared" si="4"/>
        <v>4.0907423531008211</v>
      </c>
      <c r="D147" s="21"/>
    </row>
    <row r="148" spans="1:4" x14ac:dyDescent="0.25">
      <c r="A148" s="21">
        <v>1.25</v>
      </c>
      <c r="B148" s="21"/>
      <c r="C148" s="21">
        <f t="shared" si="4"/>
        <v>4.0895445164856961</v>
      </c>
      <c r="D148" s="21"/>
    </row>
    <row r="149" spans="1:4" x14ac:dyDescent="0.25">
      <c r="A149" s="21">
        <v>1.26</v>
      </c>
      <c r="B149" s="21"/>
      <c r="C149" s="21">
        <f t="shared" si="4"/>
        <v>4.0883560338266811</v>
      </c>
      <c r="D149" s="21"/>
    </row>
    <row r="150" spans="1:4" x14ac:dyDescent="0.25">
      <c r="A150" s="21">
        <v>1.27</v>
      </c>
      <c r="B150" s="21"/>
      <c r="C150" s="21">
        <f t="shared" si="4"/>
        <v>4.0871762898487569</v>
      </c>
      <c r="D150" s="21"/>
    </row>
    <row r="151" spans="1:4" x14ac:dyDescent="0.25">
      <c r="A151" s="21">
        <v>1.28</v>
      </c>
      <c r="B151" s="21"/>
      <c r="C151" s="21">
        <f t="shared" si="4"/>
        <v>4.086004709418928</v>
      </c>
      <c r="D151" s="21"/>
    </row>
    <row r="152" spans="1:4" x14ac:dyDescent="0.25">
      <c r="A152" s="21">
        <v>1.29</v>
      </c>
      <c r="B152" s="21"/>
      <c r="C152" s="21">
        <f t="shared" si="4"/>
        <v>4.0848407549693277</v>
      </c>
      <c r="D152" s="21"/>
    </row>
    <row r="153" spans="1:4" x14ac:dyDescent="0.25">
      <c r="A153" s="21">
        <v>1.3</v>
      </c>
      <c r="B153" s="21"/>
      <c r="C153" s="21">
        <f t="shared" si="4"/>
        <v>4.083683924080356</v>
      </c>
      <c r="D153" s="21"/>
    </row>
    <row r="154" spans="1:4" x14ac:dyDescent="0.25">
      <c r="A154" s="21">
        <v>1.31</v>
      </c>
      <c r="B154" s="21"/>
      <c r="C154" s="21">
        <f t="shared" ref="C154:C217" si="5">$G$5+LOG10($G$2*EXP(-$G$3*A154)+(1-$G$2)*EXP(-$G$4*A154))</f>
        <v>4.0825337472145895</v>
      </c>
      <c r="D154" s="21"/>
    </row>
    <row r="155" spans="1:4" x14ac:dyDescent="0.25">
      <c r="A155" s="21">
        <v>1.32</v>
      </c>
      <c r="B155" s="21"/>
      <c r="C155" s="21">
        <f t="shared" si="5"/>
        <v>4.0813897855926937</v>
      </c>
      <c r="D155" s="21"/>
    </row>
    <row r="156" spans="1:4" x14ac:dyDescent="0.25">
      <c r="A156" s="21">
        <v>1.33</v>
      </c>
      <c r="B156" s="21"/>
      <c r="C156" s="21">
        <f t="shared" si="5"/>
        <v>4.0802516292029489</v>
      </c>
      <c r="D156" s="21"/>
    </row>
    <row r="157" spans="1:4" x14ac:dyDescent="0.25">
      <c r="A157" s="21">
        <v>1.34</v>
      </c>
      <c r="B157" s="21"/>
      <c r="C157" s="21">
        <f t="shared" si="5"/>
        <v>4.0791188949364621</v>
      </c>
      <c r="D157" s="21"/>
    </row>
    <row r="158" spans="1:4" x14ac:dyDescent="0.25">
      <c r="A158" s="21">
        <v>1.35</v>
      </c>
      <c r="B158" s="21"/>
      <c r="C158" s="21">
        <f t="shared" si="5"/>
        <v>4.077991224840523</v>
      </c>
      <c r="D158" s="21"/>
    </row>
    <row r="159" spans="1:4" x14ac:dyDescent="0.25">
      <c r="A159" s="21">
        <v>1.36</v>
      </c>
      <c r="B159" s="21"/>
      <c r="C159" s="21">
        <f t="shared" si="5"/>
        <v>4.0768682844829787</v>
      </c>
      <c r="D159" s="21"/>
    </row>
    <row r="160" spans="1:4" x14ac:dyDescent="0.25">
      <c r="A160" s="21">
        <v>1.37</v>
      </c>
      <c r="B160" s="21"/>
      <c r="C160" s="21">
        <f t="shared" si="5"/>
        <v>4.0757497614208731</v>
      </c>
      <c r="D160" s="21"/>
    </row>
    <row r="161" spans="1:4" x14ac:dyDescent="0.25">
      <c r="A161" s="21">
        <v>1.38</v>
      </c>
      <c r="B161" s="21"/>
      <c r="C161" s="21">
        <f t="shared" si="5"/>
        <v>4.0746353637669781</v>
      </c>
      <c r="D161" s="21"/>
    </row>
    <row r="162" spans="1:4" x14ac:dyDescent="0.25">
      <c r="A162" s="21">
        <v>1.39</v>
      </c>
      <c r="B162" s="21"/>
      <c r="C162" s="21">
        <f t="shared" si="5"/>
        <v>4.0735248188481865</v>
      </c>
      <c r="D162" s="21"/>
    </row>
    <row r="163" spans="1:4" x14ac:dyDescent="0.25">
      <c r="A163" s="21">
        <v>1.4</v>
      </c>
      <c r="B163" s="21"/>
      <c r="C163" s="21">
        <f t="shared" si="5"/>
        <v>4.0724178719500888</v>
      </c>
      <c r="D163" s="21"/>
    </row>
    <row r="164" spans="1:4" x14ac:dyDescent="0.25">
      <c r="A164" s="21">
        <v>1.41</v>
      </c>
      <c r="B164" s="21"/>
      <c r="C164" s="21">
        <f t="shared" si="5"/>
        <v>4.0713142851423729</v>
      </c>
      <c r="D164" s="21"/>
    </row>
    <row r="165" spans="1:4" x14ac:dyDescent="0.25">
      <c r="A165" s="21">
        <v>1.42</v>
      </c>
      <c r="B165" s="21"/>
      <c r="C165" s="21">
        <f t="shared" si="5"/>
        <v>4.0702138361799944</v>
      </c>
      <c r="D165" s="21"/>
    </row>
    <row r="166" spans="1:4" x14ac:dyDescent="0.25">
      <c r="A166" s="21">
        <v>1.43</v>
      </c>
      <c r="B166" s="21"/>
      <c r="C166" s="21">
        <f t="shared" si="5"/>
        <v>4.0691163174753786</v>
      </c>
      <c r="D166" s="21"/>
    </row>
    <row r="167" spans="1:4" x14ac:dyDescent="0.25">
      <c r="A167" s="21">
        <v>1.44</v>
      </c>
      <c r="B167" s="21"/>
      <c r="C167" s="21">
        <f t="shared" si="5"/>
        <v>4.0680215351371647</v>
      </c>
      <c r="D167" s="21"/>
    </row>
    <row r="168" spans="1:4" x14ac:dyDescent="0.25">
      <c r="A168" s="21">
        <v>1.45</v>
      </c>
      <c r="B168" s="21"/>
      <c r="C168" s="21">
        <f t="shared" si="5"/>
        <v>4.066929308071292</v>
      </c>
      <c r="D168" s="21"/>
    </row>
    <row r="169" spans="1:4" x14ac:dyDescent="0.25">
      <c r="A169" s="21">
        <v>1.46</v>
      </c>
      <c r="B169" s="21"/>
      <c r="C169" s="21">
        <f t="shared" si="5"/>
        <v>4.0658394671404823</v>
      </c>
      <c r="D169" s="21"/>
    </row>
    <row r="170" spans="1:4" x14ac:dyDescent="0.25">
      <c r="A170" s="21">
        <v>1.47</v>
      </c>
      <c r="B170" s="21"/>
      <c r="C170" s="21">
        <f t="shared" si="5"/>
        <v>4.0647518543783931</v>
      </c>
      <c r="D170" s="21"/>
    </row>
    <row r="171" spans="1:4" x14ac:dyDescent="0.25">
      <c r="A171" s="21">
        <v>1.48</v>
      </c>
      <c r="B171" s="21"/>
      <c r="C171" s="21">
        <f t="shared" si="5"/>
        <v>4.0636663222549547</v>
      </c>
      <c r="D171" s="21"/>
    </row>
    <row r="172" spans="1:4" x14ac:dyDescent="0.25">
      <c r="A172" s="21">
        <v>1.49</v>
      </c>
      <c r="B172" s="21"/>
      <c r="C172" s="21">
        <f t="shared" si="5"/>
        <v>4.0625827329896289</v>
      </c>
      <c r="D172" s="21"/>
    </row>
    <row r="173" spans="1:4" x14ac:dyDescent="0.25">
      <c r="A173" s="21">
        <v>1.5</v>
      </c>
      <c r="B173" s="21"/>
      <c r="C173" s="21">
        <f t="shared" si="5"/>
        <v>4.0615009579094927</v>
      </c>
      <c r="D173" s="21"/>
    </row>
    <row r="174" spans="1:4" x14ac:dyDescent="0.25">
      <c r="A174" s="21">
        <v>1.51</v>
      </c>
      <c r="B174" s="21"/>
      <c r="C174" s="21">
        <f t="shared" si="5"/>
        <v>4.060420876849296</v>
      </c>
      <c r="D174" s="21"/>
    </row>
    <row r="175" spans="1:4" x14ac:dyDescent="0.25">
      <c r="A175" s="21">
        <v>1.52</v>
      </c>
      <c r="B175" s="21"/>
      <c r="C175" s="21">
        <f t="shared" si="5"/>
        <v>4.0593423775907516</v>
      </c>
      <c r="D175" s="21"/>
    </row>
    <row r="176" spans="1:4" x14ac:dyDescent="0.25">
      <c r="A176" s="21">
        <v>1.53</v>
      </c>
      <c r="B176" s="21"/>
      <c r="C176" s="21">
        <f t="shared" si="5"/>
        <v>4.0582653553385697</v>
      </c>
      <c r="D176" s="21"/>
    </row>
    <row r="177" spans="1:4" x14ac:dyDescent="0.25">
      <c r="A177" s="21">
        <v>1.54</v>
      </c>
      <c r="B177" s="21"/>
      <c r="C177" s="21">
        <f t="shared" si="5"/>
        <v>4.0571897122308158</v>
      </c>
      <c r="D177" s="21"/>
    </row>
    <row r="178" spans="1:4" x14ac:dyDescent="0.25">
      <c r="A178" s="21">
        <v>1.55</v>
      </c>
      <c r="B178" s="21"/>
      <c r="C178" s="21">
        <f t="shared" si="5"/>
        <v>4.056115356881401</v>
      </c>
      <c r="D178" s="21"/>
    </row>
    <row r="179" spans="1:4" x14ac:dyDescent="0.25">
      <c r="A179" s="21">
        <v>1.56</v>
      </c>
      <c r="B179" s="21"/>
      <c r="C179" s="21">
        <f t="shared" si="5"/>
        <v>4.0550422039526017</v>
      </c>
      <c r="D179" s="21"/>
    </row>
    <row r="180" spans="1:4" x14ac:dyDescent="0.25">
      <c r="A180" s="21">
        <v>1.57</v>
      </c>
      <c r="B180" s="21"/>
      <c r="C180" s="21">
        <f t="shared" si="5"/>
        <v>4.0539701737556681</v>
      </c>
      <c r="D180" s="21"/>
    </row>
    <row r="181" spans="1:4" x14ac:dyDescent="0.25">
      <c r="A181" s="21">
        <v>1.58</v>
      </c>
      <c r="B181" s="21"/>
      <c r="C181" s="21">
        <f t="shared" si="5"/>
        <v>4.0528991918776853</v>
      </c>
      <c r="D181" s="21"/>
    </row>
    <row r="182" spans="1:4" x14ac:dyDescent="0.25">
      <c r="A182" s="21">
        <v>1.59</v>
      </c>
      <c r="B182" s="21"/>
      <c r="C182" s="21">
        <f t="shared" si="5"/>
        <v>4.0518291888329765</v>
      </c>
      <c r="D182" s="21"/>
    </row>
    <row r="183" spans="1:4" x14ac:dyDescent="0.25">
      <c r="A183" s="21">
        <v>1.6</v>
      </c>
      <c r="B183" s="21"/>
      <c r="C183" s="21">
        <f t="shared" si="5"/>
        <v>4.0507600997374595</v>
      </c>
      <c r="D183" s="21"/>
    </row>
    <row r="184" spans="1:4" x14ac:dyDescent="0.25">
      <c r="A184" s="21">
        <v>1.61</v>
      </c>
      <c r="B184" s="21"/>
      <c r="C184" s="21">
        <f t="shared" si="5"/>
        <v>4.0496918640044361</v>
      </c>
      <c r="D184" s="21"/>
    </row>
    <row r="185" spans="1:4" x14ac:dyDescent="0.25">
      <c r="A185" s="21">
        <v>1.62</v>
      </c>
      <c r="B185" s="21"/>
      <c r="C185" s="21">
        <f t="shared" si="5"/>
        <v>4.0486244250604324</v>
      </c>
      <c r="D185" s="21"/>
    </row>
    <row r="186" spans="1:4" x14ac:dyDescent="0.25">
      <c r="A186" s="21">
        <v>1.63</v>
      </c>
      <c r="B186" s="21"/>
      <c r="C186" s="21">
        <f t="shared" si="5"/>
        <v>4.0475577300797667</v>
      </c>
      <c r="D186" s="21"/>
    </row>
    <row r="187" spans="1:4" x14ac:dyDescent="0.25">
      <c r="A187" s="21">
        <v>1.64</v>
      </c>
      <c r="B187" s="21"/>
      <c r="C187" s="21">
        <f t="shared" si="5"/>
        <v>4.0464917297366236</v>
      </c>
      <c r="D187" s="21"/>
    </row>
    <row r="188" spans="1:4" x14ac:dyDescent="0.25">
      <c r="A188" s="21">
        <v>1.65</v>
      </c>
      <c r="B188" s="21"/>
      <c r="C188" s="21">
        <f t="shared" si="5"/>
        <v>4.0454263779734809</v>
      </c>
      <c r="D188" s="21"/>
    </row>
    <row r="189" spans="1:4" x14ac:dyDescent="0.25">
      <c r="A189" s="21">
        <v>1.66</v>
      </c>
      <c r="B189" s="21"/>
      <c r="C189" s="21">
        <f t="shared" si="5"/>
        <v>4.0443616317848203</v>
      </c>
      <c r="D189" s="21"/>
    </row>
    <row r="190" spans="1:4" x14ac:dyDescent="0.25">
      <c r="A190" s="21">
        <v>1.67</v>
      </c>
      <c r="B190" s="21"/>
      <c r="C190" s="21">
        <f t="shared" si="5"/>
        <v>4.0432974510151212</v>
      </c>
      <c r="D190" s="21"/>
    </row>
    <row r="191" spans="1:4" x14ac:dyDescent="0.25">
      <c r="A191" s="21">
        <v>1.68</v>
      </c>
      <c r="B191" s="21"/>
      <c r="C191" s="21">
        <f t="shared" si="5"/>
        <v>4.0422337981701926</v>
      </c>
      <c r="D191" s="21"/>
    </row>
    <row r="192" spans="1:4" x14ac:dyDescent="0.25">
      <c r="A192" s="21">
        <v>1.69</v>
      </c>
      <c r="B192" s="21"/>
      <c r="C192" s="21">
        <f t="shared" si="5"/>
        <v>4.0411706382409651</v>
      </c>
      <c r="D192" s="21"/>
    </row>
    <row r="193" spans="1:4" x14ac:dyDescent="0.25">
      <c r="A193" s="21">
        <v>1.7</v>
      </c>
      <c r="B193" s="21"/>
      <c r="C193" s="21">
        <f t="shared" si="5"/>
        <v>4.0401079385389327</v>
      </c>
      <c r="D193" s="21"/>
    </row>
    <row r="194" spans="1:4" x14ac:dyDescent="0.25">
      <c r="A194" s="21">
        <v>1.71</v>
      </c>
      <c r="B194" s="21"/>
      <c r="C194" s="21">
        <f t="shared" si="5"/>
        <v>4.0390456685424692</v>
      </c>
      <c r="D194" s="21"/>
    </row>
    <row r="195" spans="1:4" x14ac:dyDescent="0.25">
      <c r="A195" s="21">
        <v>1.72</v>
      </c>
      <c r="B195" s="21"/>
      <c r="C195" s="21">
        <f t="shared" si="5"/>
        <v>4.0379837997533059</v>
      </c>
      <c r="D195" s="21"/>
    </row>
    <row r="196" spans="1:4" x14ac:dyDescent="0.25">
      <c r="A196" s="21">
        <v>1.73</v>
      </c>
      <c r="B196" s="21"/>
      <c r="C196" s="21">
        <f t="shared" si="5"/>
        <v>4.0369223055624976</v>
      </c>
      <c r="D196" s="21"/>
    </row>
    <row r="197" spans="1:4" x14ac:dyDescent="0.25">
      <c r="A197" s="21">
        <v>1.74</v>
      </c>
      <c r="B197" s="21"/>
      <c r="C197" s="21">
        <f t="shared" si="5"/>
        <v>4.0358611611252604</v>
      </c>
      <c r="D197" s="21"/>
    </row>
    <row r="198" spans="1:4" x14ac:dyDescent="0.25">
      <c r="A198" s="21">
        <v>1.75</v>
      </c>
      <c r="B198" s="21"/>
      <c r="C198" s="21">
        <f t="shared" si="5"/>
        <v>4.0348003432440835</v>
      </c>
      <c r="D198" s="21"/>
    </row>
    <row r="199" spans="1:4" x14ac:dyDescent="0.25">
      <c r="A199" s="21">
        <v>1.76</v>
      </c>
      <c r="B199" s="21"/>
      <c r="C199" s="21">
        <f t="shared" si="5"/>
        <v>4.0337398302595791</v>
      </c>
      <c r="D199" s="21"/>
    </row>
    <row r="200" spans="1:4" x14ac:dyDescent="0.25">
      <c r="A200" s="21">
        <v>1.77</v>
      </c>
      <c r="B200" s="21"/>
      <c r="C200" s="21">
        <f t="shared" si="5"/>
        <v>4.0326796019485531</v>
      </c>
      <c r="D200" s="21"/>
    </row>
    <row r="201" spans="1:4" x14ac:dyDescent="0.25">
      <c r="A201" s="21">
        <v>1.78</v>
      </c>
      <c r="B201" s="21"/>
      <c r="C201" s="21">
        <f t="shared" si="5"/>
        <v>4.0316196394288299</v>
      </c>
      <c r="D201" s="21"/>
    </row>
    <row r="202" spans="1:4" x14ac:dyDescent="0.25">
      <c r="A202" s="21">
        <v>1.79</v>
      </c>
      <c r="B202" s="21"/>
      <c r="C202" s="21">
        <f t="shared" si="5"/>
        <v>4.030559925070369</v>
      </c>
      <c r="D202" s="21"/>
    </row>
    <row r="203" spans="1:4" x14ac:dyDescent="0.25">
      <c r="A203" s="21">
        <v>1.8</v>
      </c>
      <c r="B203" s="21"/>
      <c r="C203" s="21">
        <f t="shared" si="5"/>
        <v>4.0295004424122709</v>
      </c>
      <c r="D203" s="21"/>
    </row>
    <row r="204" spans="1:4" x14ac:dyDescent="0.25">
      <c r="A204" s="21">
        <v>1.81</v>
      </c>
      <c r="B204" s="21"/>
      <c r="C204" s="21">
        <f t="shared" si="5"/>
        <v>4.0284411760852832</v>
      </c>
      <c r="D204" s="21"/>
    </row>
    <row r="205" spans="1:4" x14ac:dyDescent="0.25">
      <c r="A205" s="21">
        <v>1.82</v>
      </c>
      <c r="B205" s="21"/>
      <c r="C205" s="21">
        <f t="shared" si="5"/>
        <v>4.0273821117394304</v>
      </c>
      <c r="D205" s="21"/>
    </row>
    <row r="206" spans="1:4" x14ac:dyDescent="0.25">
      <c r="A206" s="21">
        <v>1.83</v>
      </c>
      <c r="B206" s="21"/>
      <c r="C206" s="21">
        <f t="shared" si="5"/>
        <v>4.0263232359764434</v>
      </c>
      <c r="D206" s="21"/>
    </row>
    <row r="207" spans="1:4" x14ac:dyDescent="0.25">
      <c r="A207" s="21">
        <v>1.84</v>
      </c>
      <c r="B207" s="21"/>
      <c r="C207" s="21">
        <f t="shared" si="5"/>
        <v>4.0252645362866666</v>
      </c>
      <c r="D207" s="21"/>
    </row>
    <row r="208" spans="1:4" x14ac:dyDescent="0.25">
      <c r="A208" s="21">
        <v>1.85</v>
      </c>
      <c r="B208" s="21"/>
      <c r="C208" s="21">
        <f t="shared" si="5"/>
        <v>4.0242060009901373</v>
      </c>
      <c r="D208" s="21"/>
    </row>
    <row r="209" spans="1:4" x14ac:dyDescent="0.25">
      <c r="A209" s="21">
        <v>1.86</v>
      </c>
      <c r="B209" s="21"/>
      <c r="C209" s="21">
        <f t="shared" si="5"/>
        <v>4.0231476191815769</v>
      </c>
      <c r="D209" s="21"/>
    </row>
    <row r="210" spans="1:4" x14ac:dyDescent="0.25">
      <c r="A210" s="21">
        <v>1.87</v>
      </c>
      <c r="B210" s="21"/>
      <c r="C210" s="21">
        <f t="shared" si="5"/>
        <v>4.0220893806790254</v>
      </c>
      <c r="D210" s="21"/>
    </row>
    <row r="211" spans="1:4" x14ac:dyDescent="0.25">
      <c r="A211" s="21">
        <v>1.88</v>
      </c>
      <c r="B211" s="21"/>
      <c r="C211" s="21">
        <f t="shared" si="5"/>
        <v>4.0210312759758748</v>
      </c>
      <c r="D211" s="21"/>
    </row>
    <row r="212" spans="1:4" x14ac:dyDescent="0.25">
      <c r="A212" s="21">
        <v>1.89</v>
      </c>
      <c r="B212" s="21"/>
      <c r="C212" s="21">
        <f t="shared" si="5"/>
        <v>4.0199732961960901</v>
      </c>
      <c r="D212" s="21"/>
    </row>
    <row r="213" spans="1:4" x14ac:dyDescent="0.25">
      <c r="A213" s="21">
        <v>1.9</v>
      </c>
      <c r="B213" s="21"/>
      <c r="C213" s="21">
        <f t="shared" si="5"/>
        <v>4.0189154330523884</v>
      </c>
      <c r="D213" s="21"/>
    </row>
    <row r="214" spans="1:4" x14ac:dyDescent="0.25">
      <c r="A214" s="21">
        <v>1.91</v>
      </c>
      <c r="B214" s="21"/>
      <c r="C214" s="21">
        <f t="shared" si="5"/>
        <v>4.0178576788071991</v>
      </c>
      <c r="D214" s="21"/>
    </row>
    <row r="215" spans="1:4" x14ac:dyDescent="0.25">
      <c r="A215" s="21">
        <v>1.92</v>
      </c>
      <c r="B215" s="21"/>
      <c r="C215" s="21">
        <f t="shared" si="5"/>
        <v>4.0168000262362069</v>
      </c>
      <c r="D215" s="21"/>
    </row>
    <row r="216" spans="1:4" x14ac:dyDescent="0.25">
      <c r="A216" s="21">
        <v>1.93</v>
      </c>
      <c r="B216" s="21"/>
      <c r="C216" s="21">
        <f t="shared" si="5"/>
        <v>4.0157424685943104</v>
      </c>
      <c r="D216" s="21"/>
    </row>
    <row r="217" spans="1:4" x14ac:dyDescent="0.25">
      <c r="A217" s="21">
        <v>1.94</v>
      </c>
      <c r="B217" s="21"/>
      <c r="C217" s="21">
        <f t="shared" si="5"/>
        <v>4.0146849995838449</v>
      </c>
      <c r="D217" s="21"/>
    </row>
    <row r="218" spans="1:4" x14ac:dyDescent="0.25">
      <c r="A218" s="21">
        <v>1.95</v>
      </c>
      <c r="B218" s="21"/>
      <c r="C218" s="21">
        <f t="shared" ref="C218:C281" si="6">$G$5+LOG10($G$2*EXP(-$G$3*A218)+(1-$G$2)*EXP(-$G$4*A218))</f>
        <v>4.0136276133248998</v>
      </c>
      <c r="D218" s="21"/>
    </row>
    <row r="219" spans="1:4" x14ac:dyDescent="0.25">
      <c r="A219" s="21">
        <v>1.96</v>
      </c>
      <c r="B219" s="21"/>
      <c r="C219" s="21">
        <f t="shared" si="6"/>
        <v>4.0125703043276175</v>
      </c>
      <c r="D219" s="21"/>
    </row>
    <row r="220" spans="1:4" x14ac:dyDescent="0.25">
      <c r="A220" s="21">
        <v>1.97</v>
      </c>
      <c r="B220" s="21"/>
      <c r="C220" s="21">
        <f t="shared" si="6"/>
        <v>4.0115130674663204</v>
      </c>
      <c r="D220" s="21"/>
    </row>
    <row r="221" spans="1:4" x14ac:dyDescent="0.25">
      <c r="A221" s="21">
        <v>1.98</v>
      </c>
      <c r="B221" s="21"/>
      <c r="C221" s="21">
        <f t="shared" si="6"/>
        <v>4.0104558979553522</v>
      </c>
      <c r="D221" s="21"/>
    </row>
    <row r="222" spans="1:4" x14ac:dyDescent="0.25">
      <c r="A222" s="21">
        <v>1.99</v>
      </c>
      <c r="B222" s="21"/>
      <c r="C222" s="21">
        <f t="shared" si="6"/>
        <v>4.0093987913265314</v>
      </c>
      <c r="D222" s="21"/>
    </row>
    <row r="223" spans="1:4" x14ac:dyDescent="0.25">
      <c r="A223" s="21">
        <v>2</v>
      </c>
      <c r="B223" s="21"/>
      <c r="C223" s="21">
        <f t="shared" si="6"/>
        <v>4.0083417434080868</v>
      </c>
      <c r="D223" s="21"/>
    </row>
    <row r="224" spans="1:4" x14ac:dyDescent="0.25">
      <c r="A224" s="21">
        <v>2.0099999999999998</v>
      </c>
      <c r="B224" s="21"/>
      <c r="C224" s="21">
        <f t="shared" si="6"/>
        <v>4.0072847503049989</v>
      </c>
      <c r="D224" s="21"/>
    </row>
    <row r="225" spans="1:4" x14ac:dyDescent="0.25">
      <c r="A225" s="21">
        <v>2.02</v>
      </c>
      <c r="B225" s="21"/>
      <c r="C225" s="21">
        <f t="shared" si="6"/>
        <v>4.0062278083806442</v>
      </c>
      <c r="D225" s="21"/>
    </row>
    <row r="226" spans="1:4" x14ac:dyDescent="0.25">
      <c r="A226" s="21">
        <v>2.0299999999999998</v>
      </c>
      <c r="B226" s="21"/>
      <c r="C226" s="21">
        <f t="shared" si="6"/>
        <v>4.0051709142396517</v>
      </c>
      <c r="D226" s="21"/>
    </row>
    <row r="227" spans="1:4" x14ac:dyDescent="0.25">
      <c r="A227" s="21">
        <v>2.04</v>
      </c>
      <c r="B227" s="21"/>
      <c r="C227" s="21">
        <f t="shared" si="6"/>
        <v>4.0041140647119011</v>
      </c>
      <c r="D227" s="21"/>
    </row>
    <row r="228" spans="1:4" x14ac:dyDescent="0.25">
      <c r="A228" s="21">
        <v>2.0499999999999998</v>
      </c>
      <c r="B228" s="21"/>
      <c r="C228" s="21">
        <f t="shared" si="6"/>
        <v>4.0030572568375806</v>
      </c>
      <c r="D228" s="21"/>
    </row>
    <row r="229" spans="1:4" x14ac:dyDescent="0.25">
      <c r="A229" s="21">
        <v>2.06</v>
      </c>
      <c r="B229" s="21"/>
      <c r="C229" s="21">
        <f t="shared" si="6"/>
        <v>4.0020004878532376</v>
      </c>
      <c r="D229" s="21"/>
    </row>
    <row r="230" spans="1:4" x14ac:dyDescent="0.25">
      <c r="A230" s="21">
        <v>2.0699999999999998</v>
      </c>
      <c r="B230" s="21"/>
      <c r="C230" s="21">
        <f t="shared" si="6"/>
        <v>4.0009437551787475</v>
      </c>
      <c r="D230" s="21"/>
    </row>
    <row r="231" spans="1:4" x14ac:dyDescent="0.25">
      <c r="A231" s="21">
        <v>2.08</v>
      </c>
      <c r="B231" s="21"/>
      <c r="C231" s="21">
        <f t="shared" si="6"/>
        <v>3.9998870564051616</v>
      </c>
      <c r="D231" s="21"/>
    </row>
    <row r="232" spans="1:4" x14ac:dyDescent="0.25">
      <c r="A232" s="21">
        <v>2.09</v>
      </c>
      <c r="B232" s="21"/>
      <c r="C232" s="21">
        <f t="shared" si="6"/>
        <v>3.9988303892833423</v>
      </c>
      <c r="D232" s="21"/>
    </row>
    <row r="233" spans="1:4" x14ac:dyDescent="0.25">
      <c r="A233" s="21">
        <v>2.1</v>
      </c>
      <c r="B233" s="21"/>
      <c r="C233" s="21">
        <f t="shared" si="6"/>
        <v>3.9977737517133658</v>
      </c>
      <c r="D233" s="21"/>
    </row>
    <row r="234" spans="1:4" x14ac:dyDescent="0.25">
      <c r="A234" s="21">
        <v>2.11</v>
      </c>
      <c r="B234" s="21"/>
      <c r="C234" s="21">
        <f t="shared" si="6"/>
        <v>3.9967171417346252</v>
      </c>
      <c r="D234" s="21"/>
    </row>
    <row r="235" spans="1:4" x14ac:dyDescent="0.25">
      <c r="A235" s="21">
        <v>2.12</v>
      </c>
      <c r="B235" s="21"/>
      <c r="C235" s="21">
        <f t="shared" si="6"/>
        <v>3.995660557516584</v>
      </c>
      <c r="D235" s="21"/>
    </row>
    <row r="236" spans="1:4" x14ac:dyDescent="0.25">
      <c r="A236" s="21">
        <v>2.13</v>
      </c>
      <c r="B236" s="21"/>
      <c r="C236" s="21">
        <f t="shared" si="6"/>
        <v>3.9946039973501506</v>
      </c>
      <c r="D236" s="21"/>
    </row>
    <row r="237" spans="1:4" x14ac:dyDescent="0.25">
      <c r="A237" s="21">
        <v>2.14</v>
      </c>
      <c r="B237" s="21"/>
      <c r="C237" s="21">
        <f t="shared" si="6"/>
        <v>3.993547459639621</v>
      </c>
      <c r="D237" s="21"/>
    </row>
    <row r="238" spans="1:4" x14ac:dyDescent="0.25">
      <c r="A238" s="21">
        <v>2.15</v>
      </c>
      <c r="B238" s="21"/>
      <c r="C238" s="21">
        <f t="shared" si="6"/>
        <v>3.992490942895154</v>
      </c>
      <c r="D238" s="21"/>
    </row>
    <row r="239" spans="1:4" x14ac:dyDescent="0.25">
      <c r="A239" s="21">
        <v>2.16</v>
      </c>
      <c r="B239" s="21"/>
      <c r="C239" s="21">
        <f t="shared" si="6"/>
        <v>3.9914344457257522</v>
      </c>
      <c r="D239" s="21"/>
    </row>
    <row r="240" spans="1:4" x14ac:dyDescent="0.25">
      <c r="A240" s="21">
        <v>2.17</v>
      </c>
      <c r="B240" s="21"/>
      <c r="C240" s="21">
        <f t="shared" si="6"/>
        <v>3.9903779668327015</v>
      </c>
      <c r="D240" s="21"/>
    </row>
    <row r="241" spans="1:4" x14ac:dyDescent="0.25">
      <c r="A241" s="21">
        <v>2.1800000000000002</v>
      </c>
      <c r="B241" s="21"/>
      <c r="C241" s="21">
        <f t="shared" si="6"/>
        <v>3.989321505003451</v>
      </c>
      <c r="D241" s="21"/>
    </row>
    <row r="242" spans="1:4" x14ac:dyDescent="0.25">
      <c r="A242" s="21">
        <v>2.19</v>
      </c>
      <c r="B242" s="21"/>
      <c r="C242" s="21">
        <f t="shared" si="6"/>
        <v>3.9882650591058946</v>
      </c>
      <c r="D242" s="21"/>
    </row>
    <row r="243" spans="1:4" x14ac:dyDescent="0.25">
      <c r="A243" s="21">
        <v>2.2000000000000002</v>
      </c>
      <c r="B243" s="21"/>
      <c r="C243" s="21">
        <f t="shared" si="6"/>
        <v>3.9872086280830361</v>
      </c>
      <c r="D243" s="21"/>
    </row>
    <row r="244" spans="1:4" x14ac:dyDescent="0.25">
      <c r="A244" s="21">
        <v>2.21</v>
      </c>
      <c r="B244" s="21"/>
      <c r="C244" s="21">
        <f t="shared" si="6"/>
        <v>3.9861522109480041</v>
      </c>
      <c r="D244" s="21"/>
    </row>
    <row r="245" spans="1:4" x14ac:dyDescent="0.25">
      <c r="A245" s="21">
        <v>2.2200000000000002</v>
      </c>
      <c r="B245" s="21"/>
      <c r="C245" s="21">
        <f t="shared" si="6"/>
        <v>3.9850958067794022</v>
      </c>
      <c r="D245" s="21"/>
    </row>
    <row r="246" spans="1:4" x14ac:dyDescent="0.25">
      <c r="A246" s="21">
        <v>2.23</v>
      </c>
      <c r="B246" s="21"/>
      <c r="C246" s="21">
        <f t="shared" si="6"/>
        <v>3.9840394147169635</v>
      </c>
      <c r="D246" s="21"/>
    </row>
    <row r="247" spans="1:4" x14ac:dyDescent="0.25">
      <c r="A247" s="21">
        <v>2.2400000000000002</v>
      </c>
      <c r="B247" s="21"/>
      <c r="C247" s="21">
        <f t="shared" si="6"/>
        <v>3.9829830339574954</v>
      </c>
      <c r="D247" s="21"/>
    </row>
    <row r="248" spans="1:4" x14ac:dyDescent="0.25">
      <c r="A248" s="21">
        <v>2.25</v>
      </c>
      <c r="B248" s="21"/>
      <c r="C248" s="21">
        <f t="shared" si="6"/>
        <v>3.9819266637510928</v>
      </c>
      <c r="D248" s="21"/>
    </row>
    <row r="249" spans="1:4" x14ac:dyDescent="0.25">
      <c r="A249" s="21">
        <v>2.2599999999999998</v>
      </c>
      <c r="B249" s="21"/>
      <c r="C249" s="21">
        <f t="shared" si="6"/>
        <v>3.9808703033976034</v>
      </c>
      <c r="D249" s="21"/>
    </row>
    <row r="250" spans="1:4" x14ac:dyDescent="0.25">
      <c r="A250" s="21">
        <v>2.27</v>
      </c>
      <c r="B250" s="21"/>
      <c r="C250" s="21">
        <f t="shared" si="6"/>
        <v>3.9798139522433278</v>
      </c>
      <c r="D250" s="21"/>
    </row>
    <row r="251" spans="1:4" x14ac:dyDescent="0.25">
      <c r="A251" s="21">
        <v>2.2799999999999998</v>
      </c>
      <c r="B251" s="21"/>
      <c r="C251" s="21">
        <f t="shared" si="6"/>
        <v>3.9787576096779351</v>
      </c>
      <c r="D251" s="21"/>
    </row>
    <row r="252" spans="1:4" x14ac:dyDescent="0.25">
      <c r="A252" s="21">
        <v>2.29</v>
      </c>
      <c r="B252" s="21"/>
      <c r="C252" s="21">
        <f t="shared" si="6"/>
        <v>3.9777012751315874</v>
      </c>
      <c r="D252" s="21"/>
    </row>
    <row r="253" spans="1:4" x14ac:dyDescent="0.25">
      <c r="A253" s="21">
        <v>2.2999999999999998</v>
      </c>
      <c r="B253" s="21"/>
      <c r="C253" s="21">
        <f t="shared" si="6"/>
        <v>3.976644948072253</v>
      </c>
      <c r="D253" s="21"/>
    </row>
    <row r="254" spans="1:4" x14ac:dyDescent="0.25">
      <c r="A254" s="21">
        <v>2.31</v>
      </c>
      <c r="B254" s="21"/>
      <c r="C254" s="21">
        <f t="shared" si="6"/>
        <v>3.975588628003198</v>
      </c>
      <c r="D254" s="21"/>
    </row>
    <row r="255" spans="1:4" x14ac:dyDescent="0.25">
      <c r="A255" s="21">
        <v>2.3199999999999998</v>
      </c>
      <c r="B255" s="21"/>
      <c r="C255" s="21">
        <f t="shared" si="6"/>
        <v>3.9745323144606459</v>
      </c>
      <c r="D255" s="21"/>
    </row>
    <row r="256" spans="1:4" x14ac:dyDescent="0.25">
      <c r="A256" s="21">
        <v>2.33</v>
      </c>
      <c r="B256" s="21"/>
      <c r="C256" s="21">
        <f t="shared" si="6"/>
        <v>3.9734760070115875</v>
      </c>
      <c r="D256" s="21"/>
    </row>
    <row r="257" spans="1:4" x14ac:dyDescent="0.25">
      <c r="A257" s="21">
        <v>2.34</v>
      </c>
      <c r="B257" s="21"/>
      <c r="C257" s="21">
        <f t="shared" si="6"/>
        <v>3.9724197052517436</v>
      </c>
      <c r="D257" s="21"/>
    </row>
    <row r="258" spans="1:4" x14ac:dyDescent="0.25">
      <c r="A258" s="21">
        <v>2.35</v>
      </c>
      <c r="B258" s="21"/>
      <c r="C258" s="21">
        <f t="shared" si="6"/>
        <v>3.9713634088036569</v>
      </c>
      <c r="D258" s="21"/>
    </row>
    <row r="259" spans="1:4" x14ac:dyDescent="0.25">
      <c r="A259" s="21">
        <v>2.36</v>
      </c>
      <c r="B259" s="21"/>
      <c r="C259" s="21">
        <f t="shared" si="6"/>
        <v>3.9703071173149125</v>
      </c>
      <c r="D259" s="21"/>
    </row>
    <row r="260" spans="1:4" x14ac:dyDescent="0.25">
      <c r="A260" s="21">
        <v>2.37</v>
      </c>
      <c r="B260" s="21"/>
      <c r="C260" s="21">
        <f t="shared" si="6"/>
        <v>3.9692508304564771</v>
      </c>
      <c r="D260" s="21"/>
    </row>
    <row r="261" spans="1:4" x14ac:dyDescent="0.25">
      <c r="A261" s="21">
        <v>2.38</v>
      </c>
      <c r="B261" s="21"/>
      <c r="C261" s="21">
        <f t="shared" si="6"/>
        <v>3.9681945479211471</v>
      </c>
      <c r="D261" s="21"/>
    </row>
    <row r="262" spans="1:4" x14ac:dyDescent="0.25">
      <c r="A262" s="21">
        <v>2.39</v>
      </c>
      <c r="B262" s="21"/>
      <c r="C262" s="21">
        <f t="shared" si="6"/>
        <v>3.9671382694221</v>
      </c>
      <c r="D262" s="21"/>
    </row>
    <row r="263" spans="1:4" x14ac:dyDescent="0.25">
      <c r="A263" s="21">
        <v>2.4</v>
      </c>
      <c r="B263" s="21"/>
      <c r="C263" s="21">
        <f t="shared" si="6"/>
        <v>3.9660819946915451</v>
      </c>
      <c r="D263" s="21"/>
    </row>
    <row r="264" spans="1:4" x14ac:dyDescent="0.25">
      <c r="A264" s="21">
        <v>2.41</v>
      </c>
      <c r="B264" s="21"/>
      <c r="C264" s="21">
        <f t="shared" si="6"/>
        <v>3.9650257234794557</v>
      </c>
      <c r="D264" s="21"/>
    </row>
    <row r="265" spans="1:4" x14ac:dyDescent="0.25">
      <c r="A265" s="21">
        <v>2.42</v>
      </c>
      <c r="B265" s="21"/>
      <c r="C265" s="21">
        <f t="shared" si="6"/>
        <v>3.9639694555523954</v>
      </c>
      <c r="D265" s="21"/>
    </row>
    <row r="266" spans="1:4" x14ac:dyDescent="0.25">
      <c r="A266" s="21">
        <v>2.4300000000000002</v>
      </c>
      <c r="B266" s="21"/>
      <c r="C266" s="21">
        <f t="shared" si="6"/>
        <v>3.9629131906924147</v>
      </c>
      <c r="D266" s="21"/>
    </row>
    <row r="267" spans="1:4" x14ac:dyDescent="0.25">
      <c r="A267" s="21">
        <v>2.44</v>
      </c>
      <c r="B267" s="21"/>
      <c r="C267" s="21">
        <f t="shared" si="6"/>
        <v>3.9618569286960237</v>
      </c>
      <c r="D267" s="21"/>
    </row>
    <row r="268" spans="1:4" x14ac:dyDescent="0.25">
      <c r="A268" s="21">
        <v>2.4500000000000002</v>
      </c>
      <c r="B268" s="21"/>
      <c r="C268" s="21">
        <f t="shared" si="6"/>
        <v>3.9608006693732341</v>
      </c>
      <c r="D268" s="21"/>
    </row>
    <row r="269" spans="1:4" x14ac:dyDescent="0.25">
      <c r="A269" s="21">
        <v>2.46</v>
      </c>
      <c r="B269" s="21"/>
      <c r="C269" s="21">
        <f t="shared" si="6"/>
        <v>3.9597444125466623</v>
      </c>
      <c r="D269" s="21"/>
    </row>
    <row r="270" spans="1:4" x14ac:dyDescent="0.25">
      <c r="A270" s="21">
        <v>2.4700000000000002</v>
      </c>
      <c r="B270" s="21"/>
      <c r="C270" s="21">
        <f t="shared" si="6"/>
        <v>3.958688158050693</v>
      </c>
      <c r="D270" s="21"/>
    </row>
    <row r="271" spans="1:4" x14ac:dyDescent="0.25">
      <c r="A271" s="21">
        <v>2.48</v>
      </c>
      <c r="B271" s="21"/>
      <c r="C271" s="21">
        <f t="shared" si="6"/>
        <v>3.9576319057307003</v>
      </c>
      <c r="D271" s="21"/>
    </row>
    <row r="272" spans="1:4" x14ac:dyDescent="0.25">
      <c r="A272" s="21">
        <v>2.4900000000000002</v>
      </c>
      <c r="B272" s="21"/>
      <c r="C272" s="21">
        <f t="shared" si="6"/>
        <v>3.9565756554423146</v>
      </c>
      <c r="D272" s="21"/>
    </row>
    <row r="273" spans="1:4" x14ac:dyDescent="0.25">
      <c r="A273" s="21">
        <v>2.5</v>
      </c>
      <c r="B273" s="21"/>
      <c r="C273" s="21">
        <f t="shared" si="6"/>
        <v>3.9555194070507467</v>
      </c>
      <c r="D273" s="21"/>
    </row>
    <row r="274" spans="1:4" x14ac:dyDescent="0.25">
      <c r="A274" s="21">
        <v>2.5099999999999998</v>
      </c>
      <c r="B274" s="21"/>
      <c r="C274" s="21">
        <f t="shared" si="6"/>
        <v>3.9544631604301506</v>
      </c>
      <c r="D274" s="21"/>
    </row>
    <row r="275" spans="1:4" x14ac:dyDescent="0.25">
      <c r="A275" s="21">
        <v>2.52</v>
      </c>
      <c r="B275" s="21"/>
      <c r="C275" s="21">
        <f t="shared" si="6"/>
        <v>3.9534069154630274</v>
      </c>
      <c r="D275" s="21"/>
    </row>
    <row r="276" spans="1:4" x14ac:dyDescent="0.25">
      <c r="A276" s="21">
        <v>2.5299999999999998</v>
      </c>
      <c r="B276" s="21"/>
      <c r="C276" s="21">
        <f t="shared" si="6"/>
        <v>3.9523506720396755</v>
      </c>
      <c r="D276" s="21"/>
    </row>
    <row r="277" spans="1:4" x14ac:dyDescent="0.25">
      <c r="A277" s="21">
        <v>2.54</v>
      </c>
      <c r="B277" s="21"/>
      <c r="C277" s="21">
        <f t="shared" si="6"/>
        <v>3.9512944300576716</v>
      </c>
      <c r="D277" s="21"/>
    </row>
    <row r="278" spans="1:4" x14ac:dyDescent="0.25">
      <c r="A278" s="21">
        <v>2.5499999999999998</v>
      </c>
      <c r="B278" s="21"/>
      <c r="C278" s="21">
        <f t="shared" si="6"/>
        <v>3.9502381894213872</v>
      </c>
      <c r="D278" s="21"/>
    </row>
    <row r="279" spans="1:4" x14ac:dyDescent="0.25">
      <c r="A279" s="21">
        <v>2.56</v>
      </c>
      <c r="B279" s="21"/>
      <c r="C279" s="21">
        <f t="shared" si="6"/>
        <v>3.9491819500415386</v>
      </c>
      <c r="D279" s="21"/>
    </row>
    <row r="280" spans="1:4" x14ac:dyDescent="0.25">
      <c r="A280" s="21">
        <v>2.57</v>
      </c>
      <c r="B280" s="21"/>
      <c r="C280" s="21">
        <f t="shared" si="6"/>
        <v>3.9481257118347655</v>
      </c>
      <c r="D280" s="21"/>
    </row>
    <row r="281" spans="1:4" x14ac:dyDescent="0.25">
      <c r="A281" s="21">
        <v>2.58</v>
      </c>
      <c r="B281" s="21"/>
      <c r="C281" s="21">
        <f t="shared" si="6"/>
        <v>3.9470694747232393</v>
      </c>
      <c r="D281" s="21"/>
    </row>
    <row r="282" spans="1:4" x14ac:dyDescent="0.25">
      <c r="A282" s="21">
        <v>2.59</v>
      </c>
      <c r="B282" s="21"/>
      <c r="C282" s="21">
        <f t="shared" ref="C282:C345" si="7">$G$5+LOG10($G$2*EXP(-$G$3*A282)+(1-$G$2)*EXP(-$G$4*A282))</f>
        <v>3.9460132386342939</v>
      </c>
      <c r="D282" s="21"/>
    </row>
    <row r="283" spans="1:4" x14ac:dyDescent="0.25">
      <c r="A283" s="21">
        <v>2.6</v>
      </c>
      <c r="B283" s="21"/>
      <c r="C283" s="21">
        <f t="shared" si="7"/>
        <v>3.9449570035000843</v>
      </c>
      <c r="D283" s="21"/>
    </row>
    <row r="284" spans="1:4" x14ac:dyDescent="0.25">
      <c r="A284" s="21">
        <v>2.61</v>
      </c>
      <c r="B284" s="21"/>
      <c r="C284" s="21">
        <f t="shared" si="7"/>
        <v>3.9439007692572678</v>
      </c>
      <c r="D284" s="21"/>
    </row>
    <row r="285" spans="1:4" x14ac:dyDescent="0.25">
      <c r="A285" s="21">
        <v>2.62</v>
      </c>
      <c r="B285" s="21"/>
      <c r="C285" s="21">
        <f t="shared" si="7"/>
        <v>3.942844535846703</v>
      </c>
      <c r="D285" s="21"/>
    </row>
    <row r="286" spans="1:4" x14ac:dyDescent="0.25">
      <c r="A286" s="21">
        <v>2.63</v>
      </c>
      <c r="B286" s="21"/>
      <c r="C286" s="21">
        <f t="shared" si="7"/>
        <v>3.9417883032131735</v>
      </c>
      <c r="D286" s="21"/>
    </row>
    <row r="287" spans="1:4" x14ac:dyDescent="0.25">
      <c r="A287" s="21">
        <v>2.64</v>
      </c>
      <c r="B287" s="21"/>
      <c r="C287" s="21">
        <f t="shared" si="7"/>
        <v>3.9407320713051259</v>
      </c>
      <c r="D287" s="21"/>
    </row>
    <row r="288" spans="1:4" x14ac:dyDescent="0.25">
      <c r="A288" s="21">
        <v>2.65</v>
      </c>
      <c r="B288" s="21"/>
      <c r="C288" s="21">
        <f t="shared" si="7"/>
        <v>3.9396758400744272</v>
      </c>
      <c r="D288" s="21"/>
    </row>
    <row r="289" spans="1:4" x14ac:dyDescent="0.25">
      <c r="A289" s="21">
        <v>2.66</v>
      </c>
      <c r="B289" s="21"/>
      <c r="C289" s="21">
        <f t="shared" si="7"/>
        <v>3.9386196094761363</v>
      </c>
      <c r="D289" s="21"/>
    </row>
    <row r="290" spans="1:4" x14ac:dyDescent="0.25">
      <c r="A290" s="21">
        <v>2.67</v>
      </c>
      <c r="B290" s="21"/>
      <c r="C290" s="21">
        <f t="shared" si="7"/>
        <v>3.9375633794682967</v>
      </c>
      <c r="D290" s="21"/>
    </row>
    <row r="291" spans="1:4" x14ac:dyDescent="0.25">
      <c r="A291" s="21">
        <v>2.68</v>
      </c>
      <c r="B291" s="21"/>
      <c r="C291" s="21">
        <f t="shared" si="7"/>
        <v>3.9365071500117335</v>
      </c>
      <c r="D291" s="21"/>
    </row>
    <row r="292" spans="1:4" x14ac:dyDescent="0.25">
      <c r="A292" s="21">
        <v>2.69</v>
      </c>
      <c r="B292" s="21"/>
      <c r="C292" s="21">
        <f t="shared" si="7"/>
        <v>3.9354509210698714</v>
      </c>
      <c r="D292" s="21"/>
    </row>
    <row r="293" spans="1:4" x14ac:dyDescent="0.25">
      <c r="A293" s="21">
        <v>2.7</v>
      </c>
      <c r="B293" s="21"/>
      <c r="C293" s="21">
        <f t="shared" si="7"/>
        <v>3.9343946926085618</v>
      </c>
      <c r="D293" s="21"/>
    </row>
    <row r="294" spans="1:4" x14ac:dyDescent="0.25">
      <c r="A294" s="21">
        <v>2.71</v>
      </c>
      <c r="B294" s="21"/>
      <c r="C294" s="21">
        <f t="shared" si="7"/>
        <v>3.9333384645959217</v>
      </c>
      <c r="D294" s="21"/>
    </row>
    <row r="295" spans="1:4" x14ac:dyDescent="0.25">
      <c r="A295" s="21">
        <v>2.72</v>
      </c>
      <c r="B295" s="21"/>
      <c r="C295" s="21">
        <f t="shared" si="7"/>
        <v>3.9322822370021839</v>
      </c>
      <c r="D295" s="21"/>
    </row>
    <row r="296" spans="1:4" x14ac:dyDescent="0.25">
      <c r="A296" s="21">
        <v>2.73</v>
      </c>
      <c r="B296" s="21"/>
      <c r="C296" s="21">
        <f t="shared" si="7"/>
        <v>3.9312260097995555</v>
      </c>
      <c r="D296" s="21"/>
    </row>
    <row r="297" spans="1:4" x14ac:dyDescent="0.25">
      <c r="A297" s="21">
        <v>2.74</v>
      </c>
      <c r="B297" s="21"/>
      <c r="C297" s="21">
        <f t="shared" si="7"/>
        <v>3.9301697829620874</v>
      </c>
      <c r="D297" s="21"/>
    </row>
    <row r="298" spans="1:4" x14ac:dyDescent="0.25">
      <c r="A298" s="21">
        <v>2.75</v>
      </c>
      <c r="B298" s="21"/>
      <c r="C298" s="21">
        <f t="shared" si="7"/>
        <v>3.9291135564655528</v>
      </c>
      <c r="D298" s="21"/>
    </row>
    <row r="299" spans="1:4" x14ac:dyDescent="0.25">
      <c r="A299" s="21">
        <v>2.76</v>
      </c>
      <c r="B299" s="21"/>
      <c r="C299" s="21">
        <f t="shared" si="7"/>
        <v>3.9280573302873316</v>
      </c>
      <c r="D299" s="21"/>
    </row>
    <row r="300" spans="1:4" x14ac:dyDescent="0.25">
      <c r="A300" s="21">
        <v>2.77</v>
      </c>
      <c r="B300" s="21"/>
      <c r="C300" s="21">
        <f t="shared" si="7"/>
        <v>3.9270011044063056</v>
      </c>
      <c r="D300" s="21"/>
    </row>
    <row r="301" spans="1:4" x14ac:dyDescent="0.25">
      <c r="A301" s="21">
        <v>2.78</v>
      </c>
      <c r="B301" s="21"/>
      <c r="C301" s="21">
        <f t="shared" si="7"/>
        <v>3.9259448788027562</v>
      </c>
      <c r="D301" s="21"/>
    </row>
    <row r="302" spans="1:4" x14ac:dyDescent="0.25">
      <c r="A302" s="21">
        <v>2.79</v>
      </c>
      <c r="B302" s="21"/>
      <c r="C302" s="21">
        <f t="shared" si="7"/>
        <v>3.9248886534582743</v>
      </c>
      <c r="D302" s="21"/>
    </row>
    <row r="303" spans="1:4" x14ac:dyDescent="0.25">
      <c r="A303" s="21">
        <v>2.8</v>
      </c>
      <c r="B303" s="21"/>
      <c r="C303" s="21">
        <f t="shared" si="7"/>
        <v>3.9238324283556718</v>
      </c>
      <c r="D303" s="21"/>
    </row>
    <row r="304" spans="1:4" x14ac:dyDescent="0.25">
      <c r="A304" s="21">
        <v>2.81</v>
      </c>
      <c r="B304" s="21"/>
      <c r="C304" s="21">
        <f t="shared" si="7"/>
        <v>3.9227762034789002</v>
      </c>
      <c r="D304" s="21"/>
    </row>
    <row r="305" spans="1:4" x14ac:dyDescent="0.25">
      <c r="A305" s="21">
        <v>2.82</v>
      </c>
      <c r="B305" s="21"/>
      <c r="C305" s="21">
        <f t="shared" si="7"/>
        <v>3.9217199788129768</v>
      </c>
      <c r="D305" s="21"/>
    </row>
    <row r="306" spans="1:4" x14ac:dyDescent="0.25">
      <c r="A306" s="21">
        <v>2.83</v>
      </c>
      <c r="B306" s="21"/>
      <c r="C306" s="21">
        <f t="shared" si="7"/>
        <v>3.9206637543439129</v>
      </c>
      <c r="D306" s="21"/>
    </row>
    <row r="307" spans="1:4" x14ac:dyDescent="0.25">
      <c r="A307" s="21">
        <v>2.84</v>
      </c>
      <c r="B307" s="21"/>
      <c r="C307" s="21">
        <f t="shared" si="7"/>
        <v>3.9196075300586468</v>
      </c>
      <c r="D307" s="21"/>
    </row>
    <row r="308" spans="1:4" x14ac:dyDescent="0.25">
      <c r="A308" s="21">
        <v>2.85</v>
      </c>
      <c r="B308" s="21"/>
      <c r="C308" s="21">
        <f t="shared" si="7"/>
        <v>3.9185513059449848</v>
      </c>
      <c r="D308" s="21"/>
    </row>
    <row r="309" spans="1:4" x14ac:dyDescent="0.25">
      <c r="A309" s="21">
        <v>2.86</v>
      </c>
      <c r="B309" s="21"/>
      <c r="C309" s="21">
        <f t="shared" si="7"/>
        <v>3.9174950819915413</v>
      </c>
      <c r="D309" s="21"/>
    </row>
    <row r="310" spans="1:4" x14ac:dyDescent="0.25">
      <c r="A310" s="21">
        <v>2.87</v>
      </c>
      <c r="B310" s="21"/>
      <c r="C310" s="21">
        <f t="shared" si="7"/>
        <v>3.9164388581876861</v>
      </c>
      <c r="D310" s="21"/>
    </row>
    <row r="311" spans="1:4" x14ac:dyDescent="0.25">
      <c r="A311" s="21">
        <v>2.88</v>
      </c>
      <c r="B311" s="21"/>
      <c r="C311" s="21">
        <f t="shared" si="7"/>
        <v>3.9153826345234952</v>
      </c>
      <c r="D311" s="21"/>
    </row>
    <row r="312" spans="1:4" x14ac:dyDescent="0.25">
      <c r="A312" s="21">
        <v>2.89</v>
      </c>
      <c r="B312" s="21"/>
      <c r="C312" s="21">
        <f t="shared" si="7"/>
        <v>3.9143264109897018</v>
      </c>
      <c r="D312" s="21"/>
    </row>
    <row r="313" spans="1:4" x14ac:dyDescent="0.25">
      <c r="A313" s="21">
        <v>2.9</v>
      </c>
      <c r="B313" s="21"/>
      <c r="C313" s="21">
        <f t="shared" si="7"/>
        <v>3.9132701875776545</v>
      </c>
      <c r="D313" s="21"/>
    </row>
    <row r="314" spans="1:4" x14ac:dyDescent="0.25">
      <c r="A314" s="21">
        <v>2.91</v>
      </c>
      <c r="B314" s="21"/>
      <c r="C314" s="21">
        <f t="shared" si="7"/>
        <v>3.9122139642792764</v>
      </c>
      <c r="D314" s="21"/>
    </row>
    <row r="315" spans="1:4" x14ac:dyDescent="0.25">
      <c r="A315" s="21">
        <v>2.92</v>
      </c>
      <c r="B315" s="21"/>
      <c r="C315" s="21">
        <f t="shared" si="7"/>
        <v>3.9111577410870257</v>
      </c>
      <c r="D315" s="21"/>
    </row>
    <row r="316" spans="1:4" x14ac:dyDescent="0.25">
      <c r="A316" s="21">
        <v>2.93</v>
      </c>
      <c r="B316" s="21"/>
      <c r="C316" s="21">
        <f t="shared" si="7"/>
        <v>3.9101015179938603</v>
      </c>
      <c r="D316" s="21"/>
    </row>
    <row r="317" spans="1:4" x14ac:dyDescent="0.25">
      <c r="A317" s="21">
        <v>2.94</v>
      </c>
      <c r="B317" s="21"/>
      <c r="C317" s="21">
        <f t="shared" si="7"/>
        <v>3.9090452949932084</v>
      </c>
      <c r="D317" s="21"/>
    </row>
    <row r="318" spans="1:4" x14ac:dyDescent="0.25">
      <c r="A318" s="21">
        <v>2.95</v>
      </c>
      <c r="B318" s="21"/>
      <c r="C318" s="21">
        <f t="shared" si="7"/>
        <v>3.9079890720789296</v>
      </c>
      <c r="D318" s="21"/>
    </row>
    <row r="319" spans="1:4" x14ac:dyDescent="0.25">
      <c r="A319" s="21">
        <v>2.96</v>
      </c>
      <c r="B319" s="21"/>
      <c r="C319" s="21">
        <f t="shared" si="7"/>
        <v>3.9069328492452948</v>
      </c>
      <c r="D319" s="21"/>
    </row>
    <row r="320" spans="1:4" x14ac:dyDescent="0.25">
      <c r="A320" s="21">
        <v>2.97</v>
      </c>
      <c r="B320" s="21"/>
      <c r="C320" s="21">
        <f t="shared" si="7"/>
        <v>3.9058766264869536</v>
      </c>
      <c r="D320" s="21"/>
    </row>
    <row r="321" spans="1:4" x14ac:dyDescent="0.25">
      <c r="A321" s="21">
        <v>2.98</v>
      </c>
      <c r="B321" s="21"/>
      <c r="C321" s="21">
        <f t="shared" si="7"/>
        <v>3.9048204037989098</v>
      </c>
      <c r="D321" s="21"/>
    </row>
    <row r="322" spans="1:4" x14ac:dyDescent="0.25">
      <c r="A322" s="21">
        <v>2.99</v>
      </c>
      <c r="B322" s="21"/>
      <c r="C322" s="21">
        <f t="shared" si="7"/>
        <v>3.9037641811764998</v>
      </c>
      <c r="D322" s="21"/>
    </row>
    <row r="323" spans="1:4" x14ac:dyDescent="0.25">
      <c r="A323" s="21">
        <v>3</v>
      </c>
      <c r="B323" s="21"/>
      <c r="C323" s="21">
        <f t="shared" si="7"/>
        <v>3.9027079586153692</v>
      </c>
      <c r="D323" s="21"/>
    </row>
    <row r="324" spans="1:4" x14ac:dyDescent="0.25">
      <c r="A324" s="21">
        <v>3.01</v>
      </c>
      <c r="B324" s="21"/>
      <c r="C324" s="21">
        <f t="shared" si="7"/>
        <v>3.901651736111452</v>
      </c>
      <c r="D324" s="21"/>
    </row>
    <row r="325" spans="1:4" x14ac:dyDescent="0.25">
      <c r="A325" s="21">
        <v>3.02</v>
      </c>
      <c r="B325" s="21"/>
      <c r="C325" s="21">
        <f t="shared" si="7"/>
        <v>3.9005955136609525</v>
      </c>
      <c r="D325" s="21"/>
    </row>
    <row r="326" spans="1:4" x14ac:dyDescent="0.25">
      <c r="A326" s="21">
        <v>3.03</v>
      </c>
      <c r="B326" s="21"/>
      <c r="C326" s="21">
        <f t="shared" si="7"/>
        <v>3.8995392912603264</v>
      </c>
      <c r="D326" s="21"/>
    </row>
    <row r="327" spans="1:4" x14ac:dyDescent="0.25">
      <c r="A327" s="21">
        <v>3.04</v>
      </c>
      <c r="B327" s="21"/>
      <c r="C327" s="21">
        <f t="shared" si="7"/>
        <v>3.8984830689062653</v>
      </c>
      <c r="D327" s="21"/>
    </row>
    <row r="328" spans="1:4" x14ac:dyDescent="0.25">
      <c r="A328" s="21">
        <v>3.05</v>
      </c>
      <c r="B328" s="21"/>
      <c r="C328" s="21">
        <f t="shared" si="7"/>
        <v>3.8974268465956792</v>
      </c>
      <c r="D328" s="21"/>
    </row>
    <row r="329" spans="1:4" x14ac:dyDescent="0.25">
      <c r="A329" s="21">
        <v>3.06</v>
      </c>
      <c r="B329" s="21"/>
      <c r="C329" s="21">
        <f t="shared" si="7"/>
        <v>3.8963706243256837</v>
      </c>
      <c r="D329" s="21"/>
    </row>
    <row r="330" spans="1:4" x14ac:dyDescent="0.25">
      <c r="A330" s="21">
        <v>3.07</v>
      </c>
      <c r="B330" s="21"/>
      <c r="C330" s="21">
        <f t="shared" si="7"/>
        <v>3.8953144020935859</v>
      </c>
      <c r="D330" s="21"/>
    </row>
    <row r="331" spans="1:4" x14ac:dyDescent="0.25">
      <c r="A331" s="21">
        <v>3.08</v>
      </c>
      <c r="B331" s="21"/>
      <c r="C331" s="21">
        <f t="shared" si="7"/>
        <v>3.8942581798968714</v>
      </c>
      <c r="D331" s="21"/>
    </row>
    <row r="332" spans="1:4" x14ac:dyDescent="0.25">
      <c r="A332" s="21">
        <v>3.09</v>
      </c>
      <c r="B332" s="21"/>
      <c r="C332" s="21">
        <f t="shared" si="7"/>
        <v>3.8932019577331927</v>
      </c>
      <c r="D332" s="21"/>
    </row>
    <row r="333" spans="1:4" x14ac:dyDescent="0.25">
      <c r="A333" s="21">
        <v>3.1</v>
      </c>
      <c r="B333" s="21"/>
      <c r="C333" s="21">
        <f t="shared" si="7"/>
        <v>3.8921457356003586</v>
      </c>
      <c r="D333" s="21"/>
    </row>
    <row r="334" spans="1:4" x14ac:dyDescent="0.25">
      <c r="A334" s="21">
        <v>3.11</v>
      </c>
      <c r="B334" s="21"/>
      <c r="C334" s="21">
        <f t="shared" si="7"/>
        <v>3.8910895134963215</v>
      </c>
      <c r="D334" s="21"/>
    </row>
    <row r="335" spans="1:4" x14ac:dyDescent="0.25">
      <c r="A335" s="21">
        <v>3.12</v>
      </c>
      <c r="B335" s="21"/>
      <c r="C335" s="21">
        <f t="shared" si="7"/>
        <v>3.8900332914191713</v>
      </c>
      <c r="D335" s="21"/>
    </row>
    <row r="336" spans="1:4" x14ac:dyDescent="0.25">
      <c r="A336" s="21">
        <v>3.13</v>
      </c>
      <c r="B336" s="21"/>
      <c r="C336" s="21">
        <f t="shared" si="7"/>
        <v>3.8889770693671246</v>
      </c>
      <c r="D336" s="21"/>
    </row>
    <row r="337" spans="1:4" x14ac:dyDescent="0.25">
      <c r="A337" s="21">
        <v>3.14</v>
      </c>
      <c r="B337" s="21"/>
      <c r="C337" s="21">
        <f t="shared" si="7"/>
        <v>3.8879208473385152</v>
      </c>
      <c r="D337" s="21"/>
    </row>
    <row r="338" spans="1:4" x14ac:dyDescent="0.25">
      <c r="A338" s="21">
        <v>3.15</v>
      </c>
      <c r="B338" s="21"/>
      <c r="C338" s="21">
        <f t="shared" si="7"/>
        <v>3.8868646253317887</v>
      </c>
      <c r="D338" s="21"/>
    </row>
    <row r="339" spans="1:4" x14ac:dyDescent="0.25">
      <c r="A339" s="21">
        <v>3.16</v>
      </c>
      <c r="B339" s="21"/>
      <c r="C339" s="21">
        <f t="shared" si="7"/>
        <v>3.8858084033454929</v>
      </c>
      <c r="D339" s="21"/>
    </row>
    <row r="340" spans="1:4" x14ac:dyDescent="0.25">
      <c r="A340" s="21">
        <v>3.17</v>
      </c>
      <c r="B340" s="21"/>
      <c r="C340" s="21">
        <f t="shared" si="7"/>
        <v>3.8847521813782722</v>
      </c>
      <c r="D340" s="21"/>
    </row>
    <row r="341" spans="1:4" x14ac:dyDescent="0.25">
      <c r="A341" s="21">
        <v>3.18</v>
      </c>
      <c r="B341" s="21"/>
      <c r="C341" s="21">
        <f t="shared" si="7"/>
        <v>3.8836959594288611</v>
      </c>
      <c r="D341" s="21"/>
    </row>
    <row r="342" spans="1:4" x14ac:dyDescent="0.25">
      <c r="A342" s="21">
        <v>3.19</v>
      </c>
      <c r="B342" s="21"/>
      <c r="C342" s="21">
        <f t="shared" si="7"/>
        <v>3.8826397374960786</v>
      </c>
      <c r="D342" s="21"/>
    </row>
    <row r="343" spans="1:4" x14ac:dyDescent="0.25">
      <c r="A343" s="21">
        <v>3.2</v>
      </c>
      <c r="B343" s="21"/>
      <c r="C343" s="21">
        <f t="shared" si="7"/>
        <v>3.8815835155788205</v>
      </c>
      <c r="D343" s="21"/>
    </row>
    <row r="344" spans="1:4" x14ac:dyDescent="0.25">
      <c r="A344" s="21">
        <v>3.21</v>
      </c>
      <c r="B344" s="21"/>
      <c r="C344" s="21">
        <f t="shared" si="7"/>
        <v>3.8805272936760575</v>
      </c>
      <c r="D344" s="21"/>
    </row>
    <row r="345" spans="1:4" x14ac:dyDescent="0.25">
      <c r="A345" s="21">
        <v>3.22</v>
      </c>
      <c r="B345" s="21"/>
      <c r="C345" s="21">
        <f t="shared" si="7"/>
        <v>3.8794710717868277</v>
      </c>
      <c r="D345" s="21"/>
    </row>
    <row r="346" spans="1:4" x14ac:dyDescent="0.25">
      <c r="A346" s="21">
        <v>3.23</v>
      </c>
      <c r="B346" s="21"/>
      <c r="C346" s="21">
        <f t="shared" ref="C346:C409" si="8">$G$5+LOG10($G$2*EXP(-$G$3*A346)+(1-$G$2)*EXP(-$G$4*A346))</f>
        <v>3.8784148499102327</v>
      </c>
      <c r="D346" s="21"/>
    </row>
    <row r="347" spans="1:4" x14ac:dyDescent="0.25">
      <c r="A347" s="21">
        <v>3.24</v>
      </c>
      <c r="B347" s="21"/>
      <c r="C347" s="21">
        <f t="shared" si="8"/>
        <v>3.8773586280454353</v>
      </c>
      <c r="D347" s="21"/>
    </row>
    <row r="348" spans="1:4" x14ac:dyDescent="0.25">
      <c r="A348" s="21">
        <v>3.25</v>
      </c>
      <c r="B348" s="21"/>
      <c r="C348" s="21">
        <f t="shared" si="8"/>
        <v>3.8763024061916518</v>
      </c>
      <c r="D348" s="21"/>
    </row>
    <row r="349" spans="1:4" x14ac:dyDescent="0.25">
      <c r="A349" s="21">
        <v>3.26</v>
      </c>
      <c r="B349" s="21"/>
      <c r="C349" s="21">
        <f t="shared" si="8"/>
        <v>3.8752461843481516</v>
      </c>
      <c r="D349" s="21"/>
    </row>
    <row r="350" spans="1:4" x14ac:dyDescent="0.25">
      <c r="A350" s="21">
        <v>3.27</v>
      </c>
      <c r="B350" s="21"/>
      <c r="C350" s="21">
        <f t="shared" si="8"/>
        <v>3.8741899625142531</v>
      </c>
      <c r="D350" s="21"/>
    </row>
    <row r="351" spans="1:4" x14ac:dyDescent="0.25">
      <c r="A351" s="21">
        <v>3.28</v>
      </c>
      <c r="B351" s="21"/>
      <c r="C351" s="21">
        <f t="shared" si="8"/>
        <v>3.8731337406893185</v>
      </c>
      <c r="D351" s="21"/>
    </row>
    <row r="352" spans="1:4" x14ac:dyDescent="0.25">
      <c r="A352" s="21">
        <v>3.29</v>
      </c>
      <c r="B352" s="21"/>
      <c r="C352" s="21">
        <f t="shared" si="8"/>
        <v>3.8720775188727536</v>
      </c>
      <c r="D352" s="21"/>
    </row>
    <row r="353" spans="1:4" x14ac:dyDescent="0.25">
      <c r="A353" s="21">
        <v>3.3</v>
      </c>
      <c r="B353" s="21"/>
      <c r="C353" s="21">
        <f t="shared" si="8"/>
        <v>3.8710212970640034</v>
      </c>
      <c r="D353" s="21"/>
    </row>
    <row r="354" spans="1:4" x14ac:dyDescent="0.25">
      <c r="A354" s="21">
        <v>3.31</v>
      </c>
      <c r="B354" s="21"/>
      <c r="C354" s="21">
        <f t="shared" si="8"/>
        <v>3.8699650752625478</v>
      </c>
      <c r="D354" s="21"/>
    </row>
    <row r="355" spans="1:4" x14ac:dyDescent="0.25">
      <c r="A355" s="21">
        <v>3.32</v>
      </c>
      <c r="B355" s="21"/>
      <c r="C355" s="21">
        <f t="shared" si="8"/>
        <v>3.8689088534679046</v>
      </c>
      <c r="D355" s="21"/>
    </row>
    <row r="356" spans="1:4" x14ac:dyDescent="0.25">
      <c r="A356" s="21">
        <v>3.33</v>
      </c>
      <c r="B356" s="21"/>
      <c r="C356" s="21">
        <f t="shared" si="8"/>
        <v>3.8678526316796216</v>
      </c>
      <c r="D356" s="21"/>
    </row>
    <row r="357" spans="1:4" x14ac:dyDescent="0.25">
      <c r="A357" s="21">
        <v>3.34</v>
      </c>
      <c r="B357" s="21"/>
      <c r="C357" s="21">
        <f t="shared" si="8"/>
        <v>3.866796409897276</v>
      </c>
      <c r="D357" s="21"/>
    </row>
    <row r="358" spans="1:4" x14ac:dyDescent="0.25">
      <c r="A358" s="21">
        <v>3.35</v>
      </c>
      <c r="B358" s="21"/>
      <c r="C358" s="21">
        <f t="shared" si="8"/>
        <v>3.865740188120474</v>
      </c>
      <c r="D358" s="21"/>
    </row>
    <row r="359" spans="1:4" x14ac:dyDescent="0.25">
      <c r="A359" s="21">
        <v>3.36</v>
      </c>
      <c r="B359" s="21"/>
      <c r="C359" s="21">
        <f t="shared" si="8"/>
        <v>3.8646839663488484</v>
      </c>
      <c r="D359" s="21"/>
    </row>
    <row r="360" spans="1:4" x14ac:dyDescent="0.25">
      <c r="A360" s="21">
        <v>3.37</v>
      </c>
      <c r="B360" s="21"/>
      <c r="C360" s="21">
        <f t="shared" si="8"/>
        <v>3.8636277445820557</v>
      </c>
      <c r="D360" s="21"/>
    </row>
    <row r="361" spans="1:4" x14ac:dyDescent="0.25">
      <c r="A361" s="21">
        <v>3.38</v>
      </c>
      <c r="B361" s="21"/>
      <c r="C361" s="21">
        <f t="shared" si="8"/>
        <v>3.8625715228197746</v>
      </c>
      <c r="D361" s="21"/>
    </row>
    <row r="362" spans="1:4" x14ac:dyDescent="0.25">
      <c r="A362" s="21">
        <v>3.39</v>
      </c>
      <c r="B362" s="21"/>
      <c r="C362" s="21">
        <f t="shared" si="8"/>
        <v>3.861515301061706</v>
      </c>
      <c r="D362" s="21"/>
    </row>
    <row r="363" spans="1:4" x14ac:dyDescent="0.25">
      <c r="A363" s="21">
        <v>3.4</v>
      </c>
      <c r="B363" s="21"/>
      <c r="C363" s="21">
        <f t="shared" si="8"/>
        <v>3.8604590793075708</v>
      </c>
      <c r="D363" s="21"/>
    </row>
    <row r="364" spans="1:4" x14ac:dyDescent="0.25">
      <c r="A364" s="21">
        <v>3.41</v>
      </c>
      <c r="B364" s="21"/>
      <c r="C364" s="21">
        <f t="shared" si="8"/>
        <v>3.8594028575571082</v>
      </c>
      <c r="D364" s="21"/>
    </row>
    <row r="365" spans="1:4" x14ac:dyDescent="0.25">
      <c r="A365" s="21">
        <v>3.42</v>
      </c>
      <c r="B365" s="21"/>
      <c r="C365" s="21">
        <f t="shared" si="8"/>
        <v>3.858346635810074</v>
      </c>
      <c r="D365" s="21"/>
    </row>
    <row r="366" spans="1:4" x14ac:dyDescent="0.25">
      <c r="A366" s="21">
        <v>3.43</v>
      </c>
      <c r="B366" s="21"/>
      <c r="C366" s="21">
        <f t="shared" si="8"/>
        <v>3.8572904140662407</v>
      </c>
      <c r="D366" s="21"/>
    </row>
    <row r="367" spans="1:4" x14ac:dyDescent="0.25">
      <c r="A367" s="21">
        <v>3.44</v>
      </c>
      <c r="B367" s="21"/>
      <c r="C367" s="21">
        <f t="shared" si="8"/>
        <v>3.8562341923253962</v>
      </c>
      <c r="D367" s="21"/>
    </row>
    <row r="368" spans="1:4" x14ac:dyDescent="0.25">
      <c r="A368" s="21">
        <v>3.45</v>
      </c>
      <c r="B368" s="21"/>
      <c r="C368" s="21">
        <f t="shared" si="8"/>
        <v>3.8551779705873415</v>
      </c>
      <c r="D368" s="21"/>
    </row>
    <row r="369" spans="1:4" x14ac:dyDescent="0.25">
      <c r="A369" s="21">
        <v>3.46</v>
      </c>
      <c r="B369" s="21"/>
      <c r="C369" s="21">
        <f t="shared" si="8"/>
        <v>3.8541217488518926</v>
      </c>
      <c r="D369" s="21"/>
    </row>
    <row r="370" spans="1:4" x14ac:dyDescent="0.25">
      <c r="A370" s="21">
        <v>3.47</v>
      </c>
      <c r="B370" s="21"/>
      <c r="C370" s="21">
        <f t="shared" si="8"/>
        <v>3.8530655271188765</v>
      </c>
      <c r="D370" s="21"/>
    </row>
    <row r="371" spans="1:4" x14ac:dyDescent="0.25">
      <c r="A371" s="21">
        <v>3.48</v>
      </c>
      <c r="B371" s="21"/>
      <c r="C371" s="21">
        <f t="shared" si="8"/>
        <v>3.8520093053881315</v>
      </c>
      <c r="D371" s="21"/>
    </row>
    <row r="372" spans="1:4" x14ac:dyDescent="0.25">
      <c r="A372" s="21">
        <v>3.49</v>
      </c>
      <c r="B372" s="21"/>
      <c r="C372" s="21">
        <f t="shared" si="8"/>
        <v>3.8509530836595065</v>
      </c>
      <c r="D372" s="21"/>
    </row>
    <row r="373" spans="1:4" x14ac:dyDescent="0.25">
      <c r="A373" s="21">
        <v>3.5</v>
      </c>
      <c r="B373" s="21"/>
      <c r="C373" s="21">
        <f t="shared" si="8"/>
        <v>3.8498968619328613</v>
      </c>
      <c r="D373" s="21"/>
    </row>
    <row r="374" spans="1:4" x14ac:dyDescent="0.25">
      <c r="A374" s="21">
        <v>3.51</v>
      </c>
      <c r="B374" s="21"/>
      <c r="C374" s="21">
        <f t="shared" si="8"/>
        <v>3.8488406402080644</v>
      </c>
      <c r="D374" s="21"/>
    </row>
    <row r="375" spans="1:4" x14ac:dyDescent="0.25">
      <c r="A375" s="21">
        <v>3.52</v>
      </c>
      <c r="B375" s="21"/>
      <c r="C375" s="21">
        <f t="shared" si="8"/>
        <v>3.8477844184849932</v>
      </c>
      <c r="D375" s="21"/>
    </row>
    <row r="376" spans="1:4" x14ac:dyDescent="0.25">
      <c r="A376" s="21">
        <v>3.53</v>
      </c>
      <c r="B376" s="21"/>
      <c r="C376" s="21">
        <f t="shared" si="8"/>
        <v>3.8467281967635332</v>
      </c>
      <c r="D376" s="21"/>
    </row>
    <row r="377" spans="1:4" x14ac:dyDescent="0.25">
      <c r="A377" s="21">
        <v>3.54</v>
      </c>
      <c r="B377" s="21"/>
      <c r="C377" s="21">
        <f t="shared" si="8"/>
        <v>3.8456719750435777</v>
      </c>
      <c r="D377" s="21"/>
    </row>
    <row r="378" spans="1:4" x14ac:dyDescent="0.25">
      <c r="A378" s="21">
        <v>3.55</v>
      </c>
      <c r="B378" s="21"/>
      <c r="C378" s="21">
        <f t="shared" si="8"/>
        <v>3.8446157533250265</v>
      </c>
      <c r="D378" s="21"/>
    </row>
    <row r="379" spans="1:4" x14ac:dyDescent="0.25">
      <c r="A379" s="21">
        <v>3.56</v>
      </c>
      <c r="B379" s="21"/>
      <c r="C379" s="21">
        <f t="shared" si="8"/>
        <v>3.8435595316077866</v>
      </c>
      <c r="D379" s="21"/>
    </row>
    <row r="380" spans="1:4" x14ac:dyDescent="0.25">
      <c r="A380" s="21">
        <v>3.57</v>
      </c>
      <c r="B380" s="21"/>
      <c r="C380" s="21">
        <f t="shared" si="8"/>
        <v>3.8425033098917716</v>
      </c>
      <c r="D380" s="21"/>
    </row>
    <row r="381" spans="1:4" x14ac:dyDescent="0.25">
      <c r="A381" s="21">
        <v>3.58</v>
      </c>
      <c r="B381" s="21"/>
      <c r="C381" s="21">
        <f t="shared" si="8"/>
        <v>3.8414470881768992</v>
      </c>
      <c r="D381" s="21"/>
    </row>
    <row r="382" spans="1:4" x14ac:dyDescent="0.25">
      <c r="A382" s="21">
        <v>3.59</v>
      </c>
      <c r="B382" s="21"/>
      <c r="C382" s="21">
        <f t="shared" si="8"/>
        <v>3.8403908664630944</v>
      </c>
      <c r="D382" s="21"/>
    </row>
    <row r="383" spans="1:4" x14ac:dyDescent="0.25">
      <c r="A383" s="21">
        <v>3.6</v>
      </c>
      <c r="B383" s="21"/>
      <c r="C383" s="21">
        <f t="shared" si="8"/>
        <v>3.8393346447502852</v>
      </c>
      <c r="D383" s="21"/>
    </row>
    <row r="384" spans="1:4" x14ac:dyDescent="0.25">
      <c r="A384" s="21">
        <v>3.61</v>
      </c>
      <c r="B384" s="21"/>
      <c r="C384" s="21">
        <f t="shared" si="8"/>
        <v>3.8382784230384073</v>
      </c>
      <c r="D384" s="21"/>
    </row>
    <row r="385" spans="1:4" x14ac:dyDescent="0.25">
      <c r="A385" s="21">
        <v>3.62</v>
      </c>
      <c r="B385" s="21"/>
      <c r="C385" s="21">
        <f t="shared" si="8"/>
        <v>3.8372222013273976</v>
      </c>
      <c r="D385" s="21"/>
    </row>
    <row r="386" spans="1:4" x14ac:dyDescent="0.25">
      <c r="A386" s="21">
        <v>3.63</v>
      </c>
      <c r="B386" s="21"/>
      <c r="C386" s="21">
        <f t="shared" si="8"/>
        <v>3.8361659796171992</v>
      </c>
      <c r="D386" s="21"/>
    </row>
    <row r="387" spans="1:4" x14ac:dyDescent="0.25">
      <c r="A387" s="21">
        <v>3.64</v>
      </c>
      <c r="B387" s="21"/>
      <c r="C387" s="21">
        <f t="shared" si="8"/>
        <v>3.8351097579077575</v>
      </c>
      <c r="D387" s="21"/>
    </row>
    <row r="388" spans="1:4" x14ac:dyDescent="0.25">
      <c r="A388" s="21">
        <v>3.65</v>
      </c>
      <c r="B388" s="21"/>
      <c r="C388" s="21">
        <f t="shared" si="8"/>
        <v>3.8340535361990229</v>
      </c>
      <c r="D388" s="21"/>
    </row>
    <row r="389" spans="1:4" x14ac:dyDescent="0.25">
      <c r="A389" s="21">
        <v>3.66</v>
      </c>
      <c r="B389" s="21"/>
      <c r="C389" s="21">
        <f t="shared" si="8"/>
        <v>3.8329973144909486</v>
      </c>
      <c r="D389" s="21"/>
    </row>
    <row r="390" spans="1:4" x14ac:dyDescent="0.25">
      <c r="A390" s="21">
        <v>3.67</v>
      </c>
      <c r="B390" s="21"/>
      <c r="C390" s="21">
        <f t="shared" si="8"/>
        <v>3.8319410927834903</v>
      </c>
      <c r="D390" s="21"/>
    </row>
    <row r="391" spans="1:4" x14ac:dyDescent="0.25">
      <c r="A391" s="21">
        <v>3.68</v>
      </c>
      <c r="B391" s="21"/>
      <c r="C391" s="21">
        <f t="shared" si="8"/>
        <v>3.8308848710766075</v>
      </c>
      <c r="D391" s="21"/>
    </row>
    <row r="392" spans="1:4" x14ac:dyDescent="0.25">
      <c r="A392" s="21">
        <v>3.69</v>
      </c>
      <c r="B392" s="21"/>
      <c r="C392" s="21">
        <f t="shared" si="8"/>
        <v>3.8298286493702616</v>
      </c>
      <c r="D392" s="21"/>
    </row>
    <row r="393" spans="1:4" x14ac:dyDescent="0.25">
      <c r="A393" s="21">
        <v>3.7</v>
      </c>
      <c r="B393" s="21"/>
      <c r="C393" s="21">
        <f t="shared" si="8"/>
        <v>3.8287724276644175</v>
      </c>
      <c r="D393" s="21"/>
    </row>
    <row r="394" spans="1:4" x14ac:dyDescent="0.25">
      <c r="A394" s="21">
        <v>3.71</v>
      </c>
      <c r="B394" s="21"/>
      <c r="C394" s="21">
        <f t="shared" si="8"/>
        <v>3.8277162059590419</v>
      </c>
      <c r="D394" s="21"/>
    </row>
    <row r="395" spans="1:4" x14ac:dyDescent="0.25">
      <c r="A395" s="21">
        <v>3.72</v>
      </c>
      <c r="B395" s="21"/>
      <c r="C395" s="21">
        <f t="shared" si="8"/>
        <v>3.8266599842541034</v>
      </c>
      <c r="D395" s="21"/>
    </row>
    <row r="396" spans="1:4" x14ac:dyDescent="0.25">
      <c r="A396" s="21">
        <v>3.73</v>
      </c>
      <c r="B396" s="21"/>
      <c r="C396" s="21">
        <f t="shared" si="8"/>
        <v>3.8256037625495729</v>
      </c>
      <c r="D396" s="21"/>
    </row>
    <row r="397" spans="1:4" x14ac:dyDescent="0.25">
      <c r="A397" s="21">
        <v>3.74</v>
      </c>
      <c r="B397" s="21"/>
      <c r="C397" s="21">
        <f t="shared" si="8"/>
        <v>3.8245475408454235</v>
      </c>
      <c r="D397" s="21"/>
    </row>
    <row r="398" spans="1:4" x14ac:dyDescent="0.25">
      <c r="A398" s="21">
        <v>3.75</v>
      </c>
      <c r="B398" s="21"/>
      <c r="C398" s="21">
        <f t="shared" si="8"/>
        <v>3.8234913191416302</v>
      </c>
      <c r="D398" s="21"/>
    </row>
    <row r="399" spans="1:4" x14ac:dyDescent="0.25">
      <c r="A399" s="21">
        <v>3.76</v>
      </c>
      <c r="B399" s="21"/>
      <c r="C399" s="21">
        <f t="shared" si="8"/>
        <v>3.8224350974381687</v>
      </c>
      <c r="D399" s="21"/>
    </row>
    <row r="400" spans="1:4" x14ac:dyDescent="0.25">
      <c r="A400" s="21">
        <v>3.77</v>
      </c>
      <c r="B400" s="21"/>
      <c r="C400" s="21">
        <f t="shared" si="8"/>
        <v>3.8213788757350176</v>
      </c>
      <c r="D400" s="21"/>
    </row>
    <row r="401" spans="1:4" x14ac:dyDescent="0.25">
      <c r="A401" s="21">
        <v>3.78</v>
      </c>
      <c r="B401" s="21"/>
      <c r="C401" s="21">
        <f t="shared" si="8"/>
        <v>3.820322654032156</v>
      </c>
      <c r="D401" s="21"/>
    </row>
    <row r="402" spans="1:4" x14ac:dyDescent="0.25">
      <c r="A402" s="21">
        <v>3.79</v>
      </c>
      <c r="B402" s="21"/>
      <c r="C402" s="21">
        <f t="shared" si="8"/>
        <v>3.8192664323295649</v>
      </c>
      <c r="D402" s="21"/>
    </row>
    <row r="403" spans="1:4" x14ac:dyDescent="0.25">
      <c r="A403" s="21">
        <v>3.8</v>
      </c>
      <c r="B403" s="21"/>
      <c r="C403" s="21">
        <f t="shared" si="8"/>
        <v>3.8182102106272264</v>
      </c>
      <c r="D403" s="21"/>
    </row>
    <row r="404" spans="1:4" x14ac:dyDescent="0.25">
      <c r="A404" s="21">
        <v>3.81</v>
      </c>
      <c r="B404" s="21"/>
      <c r="C404" s="21">
        <f t="shared" si="8"/>
        <v>3.8171539889251234</v>
      </c>
      <c r="D404" s="21"/>
    </row>
    <row r="405" spans="1:4" x14ac:dyDescent="0.25">
      <c r="A405" s="21">
        <v>3.82</v>
      </c>
      <c r="B405" s="21"/>
      <c r="C405" s="21">
        <f t="shared" si="8"/>
        <v>3.8160977672232406</v>
      </c>
      <c r="D405" s="21"/>
    </row>
    <row r="406" spans="1:4" x14ac:dyDescent="0.25">
      <c r="A406" s="21">
        <v>3.83</v>
      </c>
      <c r="B406" s="21"/>
      <c r="C406" s="21">
        <f t="shared" si="8"/>
        <v>3.8150415455215629</v>
      </c>
      <c r="D406" s="21"/>
    </row>
    <row r="407" spans="1:4" x14ac:dyDescent="0.25">
      <c r="A407" s="21">
        <v>3.84</v>
      </c>
      <c r="B407" s="21"/>
      <c r="C407" s="21">
        <f t="shared" si="8"/>
        <v>3.8139853238200776</v>
      </c>
      <c r="D407" s="21"/>
    </row>
    <row r="408" spans="1:4" x14ac:dyDescent="0.25">
      <c r="A408" s="21">
        <v>3.85</v>
      </c>
      <c r="B408" s="21"/>
      <c r="C408" s="21">
        <f t="shared" si="8"/>
        <v>3.8129291021187708</v>
      </c>
      <c r="D408" s="21"/>
    </row>
    <row r="409" spans="1:4" x14ac:dyDescent="0.25">
      <c r="A409" s="21">
        <v>3.86</v>
      </c>
      <c r="B409" s="21"/>
      <c r="C409" s="21">
        <f t="shared" si="8"/>
        <v>3.8118728804176318</v>
      </c>
      <c r="D409" s="21"/>
    </row>
    <row r="410" spans="1:4" x14ac:dyDescent="0.25">
      <c r="A410" s="21">
        <v>3.87</v>
      </c>
      <c r="B410" s="21"/>
      <c r="C410" s="21">
        <f t="shared" ref="C410:C423" si="9">$G$5+LOG10($G$2*EXP(-$G$3*A410)+(1-$G$2)*EXP(-$G$4*A410))</f>
        <v>3.8108166587166483</v>
      </c>
      <c r="D410" s="21"/>
    </row>
    <row r="411" spans="1:4" x14ac:dyDescent="0.25">
      <c r="A411" s="21">
        <v>3.88</v>
      </c>
      <c r="B411" s="21"/>
      <c r="C411" s="21">
        <f t="shared" si="9"/>
        <v>3.8097604370158109</v>
      </c>
      <c r="D411" s="21"/>
    </row>
    <row r="412" spans="1:4" x14ac:dyDescent="0.25">
      <c r="A412" s="21">
        <v>3.89</v>
      </c>
      <c r="B412" s="21"/>
      <c r="C412" s="21">
        <f t="shared" si="9"/>
        <v>3.8087042153151098</v>
      </c>
      <c r="D412" s="21"/>
    </row>
    <row r="413" spans="1:4" x14ac:dyDescent="0.25">
      <c r="A413" s="21">
        <v>3.9</v>
      </c>
      <c r="B413" s="21"/>
      <c r="C413" s="21">
        <f t="shared" si="9"/>
        <v>3.8076479936145358</v>
      </c>
      <c r="D413" s="21"/>
    </row>
    <row r="414" spans="1:4" x14ac:dyDescent="0.25">
      <c r="A414" s="21">
        <v>3.91</v>
      </c>
      <c r="B414" s="21"/>
      <c r="C414" s="21">
        <f t="shared" si="9"/>
        <v>3.8065917719140803</v>
      </c>
      <c r="D414" s="21"/>
    </row>
    <row r="415" spans="1:4" x14ac:dyDescent="0.25">
      <c r="A415" s="21">
        <v>3.92</v>
      </c>
      <c r="B415" s="21"/>
      <c r="C415" s="21">
        <f t="shared" si="9"/>
        <v>3.8055355502137354</v>
      </c>
      <c r="D415" s="21"/>
    </row>
    <row r="416" spans="1:4" x14ac:dyDescent="0.25">
      <c r="A416" s="21">
        <v>3.93</v>
      </c>
      <c r="B416" s="21"/>
      <c r="C416" s="21">
        <f t="shared" si="9"/>
        <v>3.8044793285134935</v>
      </c>
      <c r="D416" s="21"/>
    </row>
    <row r="417" spans="1:4" x14ac:dyDescent="0.25">
      <c r="A417" s="21">
        <v>3.94</v>
      </c>
      <c r="B417" s="21"/>
      <c r="C417" s="21">
        <f t="shared" si="9"/>
        <v>3.8034231068133488</v>
      </c>
      <c r="D417" s="21"/>
    </row>
    <row r="418" spans="1:4" x14ac:dyDescent="0.25">
      <c r="A418" s="21">
        <v>3.95</v>
      </c>
      <c r="B418" s="21"/>
      <c r="C418" s="21">
        <f t="shared" si="9"/>
        <v>3.8023668851132939</v>
      </c>
      <c r="D418" s="21"/>
    </row>
    <row r="419" spans="1:4" x14ac:dyDescent="0.25">
      <c r="A419" s="21">
        <v>3.96</v>
      </c>
      <c r="B419" s="21"/>
      <c r="C419" s="21">
        <f t="shared" si="9"/>
        <v>3.8013106634133238</v>
      </c>
      <c r="D419" s="21"/>
    </row>
    <row r="420" spans="1:4" x14ac:dyDescent="0.25">
      <c r="A420" s="21">
        <v>3.97</v>
      </c>
      <c r="B420" s="21"/>
      <c r="C420" s="21">
        <f t="shared" si="9"/>
        <v>3.8002544417134319</v>
      </c>
      <c r="D420" s="21"/>
    </row>
    <row r="421" spans="1:4" x14ac:dyDescent="0.25">
      <c r="A421" s="21">
        <v>3.98</v>
      </c>
      <c r="B421" s="21"/>
      <c r="C421" s="21">
        <f t="shared" si="9"/>
        <v>3.7991982200136132</v>
      </c>
      <c r="D421" s="21"/>
    </row>
    <row r="422" spans="1:4" x14ac:dyDescent="0.25">
      <c r="A422" s="21">
        <v>3.99</v>
      </c>
      <c r="B422" s="21"/>
      <c r="C422" s="21">
        <f t="shared" si="9"/>
        <v>3.7981419983138629</v>
      </c>
      <c r="D422" s="21"/>
    </row>
    <row r="423" spans="1:4" x14ac:dyDescent="0.25">
      <c r="A423" s="21">
        <v>4</v>
      </c>
      <c r="B423" s="21"/>
      <c r="C423" s="21">
        <f t="shared" si="9"/>
        <v>3.797085776614177</v>
      </c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/>
  </sheetViews>
  <sheetFormatPr defaultRowHeight="15" x14ac:dyDescent="0.25"/>
  <cols>
    <col min="1" max="1" width="9.140625" style="17"/>
    <col min="2" max="2" width="10.5703125" style="17" bestFit="1" customWidth="1"/>
    <col min="3" max="3" width="11.28515625" style="17" bestFit="1" customWidth="1"/>
    <col min="4" max="4" width="13.7109375" style="17" bestFit="1" customWidth="1"/>
    <col min="5" max="6" width="9.140625" style="17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15" x14ac:dyDescent="0.25">
      <c r="A2" s="17">
        <v>12662</v>
      </c>
      <c r="B2" s="17" t="s">
        <v>4</v>
      </c>
      <c r="C2" s="17" t="s">
        <v>41</v>
      </c>
      <c r="D2" s="17" t="s">
        <v>40</v>
      </c>
      <c r="E2" s="11">
        <v>0</v>
      </c>
      <c r="F2" s="21">
        <f>LOG10(4.7*10^5)</f>
        <v>5.6720978579357171</v>
      </c>
      <c r="I2" s="22"/>
      <c r="J2" s="22"/>
      <c r="O2" s="22"/>
    </row>
    <row r="3" spans="1:15" x14ac:dyDescent="0.25">
      <c r="A3" s="17">
        <v>12662</v>
      </c>
      <c r="B3" s="17" t="s">
        <v>4</v>
      </c>
      <c r="C3" s="17" t="s">
        <v>41</v>
      </c>
      <c r="D3" s="17" t="s">
        <v>40</v>
      </c>
      <c r="E3" s="11">
        <v>0.5</v>
      </c>
      <c r="F3" s="21">
        <f>LOG10(1.53*10^4)</f>
        <v>4.1846914308175984</v>
      </c>
      <c r="I3" s="22"/>
      <c r="J3" s="22"/>
      <c r="O3" s="22"/>
    </row>
    <row r="4" spans="1:15" x14ac:dyDescent="0.25">
      <c r="A4" s="17">
        <v>12662</v>
      </c>
      <c r="B4" s="17" t="s">
        <v>4</v>
      </c>
      <c r="C4" s="17" t="s">
        <v>41</v>
      </c>
      <c r="D4" s="17" t="s">
        <v>40</v>
      </c>
      <c r="E4" s="11">
        <v>1</v>
      </c>
      <c r="F4" s="21">
        <f>LOG10(1.1*10^4)</f>
        <v>4.0413926851582254</v>
      </c>
      <c r="I4" s="22"/>
      <c r="J4" s="22"/>
      <c r="O4" s="22"/>
    </row>
    <row r="5" spans="1:15" x14ac:dyDescent="0.25">
      <c r="A5" s="17">
        <v>12662</v>
      </c>
      <c r="B5" s="17" t="s">
        <v>4</v>
      </c>
      <c r="C5" s="17" t="s">
        <v>41</v>
      </c>
      <c r="D5" s="17" t="s">
        <v>40</v>
      </c>
      <c r="E5" s="11">
        <v>2</v>
      </c>
      <c r="F5" s="21">
        <f>LOG10(9.3*10^3)</f>
        <v>3.9684829485539352</v>
      </c>
      <c r="I5" s="22"/>
      <c r="J5" s="22"/>
      <c r="O5" s="22"/>
    </row>
    <row r="6" spans="1:15" x14ac:dyDescent="0.25">
      <c r="A6" s="17">
        <v>12662</v>
      </c>
      <c r="B6" s="17" t="s">
        <v>4</v>
      </c>
      <c r="C6" s="17" t="s">
        <v>41</v>
      </c>
      <c r="D6" s="17" t="s">
        <v>40</v>
      </c>
      <c r="E6" s="11">
        <v>3</v>
      </c>
      <c r="F6" s="21">
        <f>LOG10(1.85*10^4)</f>
        <v>4.2671717284030137</v>
      </c>
      <c r="I6" s="22"/>
      <c r="J6" s="22"/>
    </row>
    <row r="7" spans="1:15" x14ac:dyDescent="0.25">
      <c r="A7" s="17">
        <v>12662</v>
      </c>
      <c r="B7" s="17" t="s">
        <v>4</v>
      </c>
      <c r="C7" s="17" t="s">
        <v>41</v>
      </c>
      <c r="D7" s="17" t="s">
        <v>40</v>
      </c>
      <c r="E7" s="11">
        <v>4</v>
      </c>
      <c r="F7" s="21">
        <f>LOG10(1.65*10^4)</f>
        <v>4.2174839442139067</v>
      </c>
    </row>
    <row r="8" spans="1:15" x14ac:dyDescent="0.25">
      <c r="A8" s="17">
        <v>12662</v>
      </c>
      <c r="B8" s="17" t="s">
        <v>5</v>
      </c>
      <c r="C8" s="17" t="s">
        <v>41</v>
      </c>
      <c r="D8" s="17" t="s">
        <v>40</v>
      </c>
      <c r="E8" s="11">
        <v>0</v>
      </c>
      <c r="F8" s="21">
        <f>LOG10(5*10^5)</f>
        <v>5.6989700043360187</v>
      </c>
    </row>
    <row r="9" spans="1:15" x14ac:dyDescent="0.25">
      <c r="A9" s="17">
        <v>12662</v>
      </c>
      <c r="B9" s="17" t="s">
        <v>5</v>
      </c>
      <c r="C9" s="17" t="s">
        <v>41</v>
      </c>
      <c r="D9" s="17" t="s">
        <v>40</v>
      </c>
      <c r="E9" s="11">
        <v>0.5</v>
      </c>
      <c r="F9" s="21">
        <f>LOG10(5.3*10^4)</f>
        <v>4.7242758696007892</v>
      </c>
    </row>
    <row r="10" spans="1:15" x14ac:dyDescent="0.25">
      <c r="A10" s="17">
        <v>12662</v>
      </c>
      <c r="B10" s="17" t="s">
        <v>5</v>
      </c>
      <c r="C10" s="17" t="s">
        <v>41</v>
      </c>
      <c r="D10" s="17" t="s">
        <v>40</v>
      </c>
      <c r="E10" s="11">
        <v>1</v>
      </c>
      <c r="F10" s="21">
        <f>LOG10(2.33*10^4)</f>
        <v>4.3673559210260189</v>
      </c>
    </row>
    <row r="11" spans="1:15" x14ac:dyDescent="0.25">
      <c r="A11" s="17">
        <v>12662</v>
      </c>
      <c r="B11" s="17" t="s">
        <v>5</v>
      </c>
      <c r="C11" s="17" t="s">
        <v>41</v>
      </c>
      <c r="D11" s="17" t="s">
        <v>40</v>
      </c>
      <c r="E11" s="11">
        <v>2</v>
      </c>
      <c r="F11" s="21">
        <f>LOG10(1.2*10^4)</f>
        <v>4.0791812460476251</v>
      </c>
    </row>
    <row r="12" spans="1:15" x14ac:dyDescent="0.25">
      <c r="A12" s="17">
        <v>12662</v>
      </c>
      <c r="B12" s="17" t="s">
        <v>5</v>
      </c>
      <c r="C12" s="17" t="s">
        <v>41</v>
      </c>
      <c r="D12" s="17" t="s">
        <v>40</v>
      </c>
      <c r="E12" s="11">
        <v>3</v>
      </c>
      <c r="F12" s="21">
        <f>LOG10(1.24*10^3)</f>
        <v>3.0934216851622351</v>
      </c>
    </row>
    <row r="13" spans="1:15" x14ac:dyDescent="0.25">
      <c r="A13" s="17">
        <v>12662</v>
      </c>
      <c r="B13" s="17" t="s">
        <v>5</v>
      </c>
      <c r="C13" s="17" t="s">
        <v>41</v>
      </c>
      <c r="D13" s="17" t="s">
        <v>40</v>
      </c>
      <c r="E13" s="11">
        <v>4</v>
      </c>
      <c r="F13" s="21">
        <f>LOG10(10.15*10^3)</f>
        <v>4.0064660422492313</v>
      </c>
    </row>
    <row r="14" spans="1:15" x14ac:dyDescent="0.25">
      <c r="A14" s="17">
        <v>12662</v>
      </c>
      <c r="B14" s="17" t="s">
        <v>6</v>
      </c>
      <c r="C14" s="17" t="s">
        <v>41</v>
      </c>
      <c r="D14" s="17" t="s">
        <v>40</v>
      </c>
      <c r="E14" s="11">
        <v>0</v>
      </c>
      <c r="F14" s="21">
        <f>LOG10(3.23*10^5)</f>
        <v>5.509202522331103</v>
      </c>
    </row>
    <row r="15" spans="1:15" x14ac:dyDescent="0.25">
      <c r="A15" s="17">
        <v>12662</v>
      </c>
      <c r="B15" s="17" t="s">
        <v>6</v>
      </c>
      <c r="C15" s="17" t="s">
        <v>41</v>
      </c>
      <c r="D15" s="17" t="s">
        <v>40</v>
      </c>
      <c r="E15" s="11">
        <v>0.5</v>
      </c>
      <c r="F15" s="21">
        <f>LOG10(2.3*10^4)</f>
        <v>4.3617278360175931</v>
      </c>
    </row>
    <row r="16" spans="1:15" x14ac:dyDescent="0.25">
      <c r="A16" s="17">
        <v>12662</v>
      </c>
      <c r="B16" s="17" t="s">
        <v>6</v>
      </c>
      <c r="C16" s="17" t="s">
        <v>41</v>
      </c>
      <c r="D16" s="17" t="s">
        <v>40</v>
      </c>
      <c r="E16" s="11">
        <v>1</v>
      </c>
      <c r="F16" s="21">
        <f>LOG10(7.7*10^3)</f>
        <v>3.8864907251724818</v>
      </c>
    </row>
    <row r="17" spans="1:6" x14ac:dyDescent="0.25">
      <c r="A17" s="17">
        <v>12662</v>
      </c>
      <c r="B17" s="17" t="s">
        <v>6</v>
      </c>
      <c r="C17" s="17" t="s">
        <v>41</v>
      </c>
      <c r="D17" s="17" t="s">
        <v>40</v>
      </c>
      <c r="E17" s="11">
        <v>2</v>
      </c>
      <c r="F17" s="21">
        <f>LOG10(1.93*10^4)</f>
        <v>4.2855573090077739</v>
      </c>
    </row>
    <row r="18" spans="1:6" x14ac:dyDescent="0.25">
      <c r="A18" s="17">
        <v>12662</v>
      </c>
      <c r="B18" s="17" t="s">
        <v>6</v>
      </c>
      <c r="C18" s="17" t="s">
        <v>41</v>
      </c>
      <c r="D18" s="17" t="s">
        <v>40</v>
      </c>
      <c r="E18" s="11">
        <v>3</v>
      </c>
      <c r="F18" s="21">
        <f>LOG10(8.85*10^3)</f>
        <v>3.9469432706978256</v>
      </c>
    </row>
    <row r="19" spans="1:6" x14ac:dyDescent="0.25">
      <c r="A19" s="17">
        <v>12662</v>
      </c>
      <c r="B19" s="17" t="s">
        <v>6</v>
      </c>
      <c r="C19" s="17" t="s">
        <v>41</v>
      </c>
      <c r="D19" s="17" t="s">
        <v>40</v>
      </c>
      <c r="E19" s="11">
        <v>4</v>
      </c>
      <c r="F19" s="21">
        <f>LOG10(2.15*10^3)</f>
        <v>3.3324384599156054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0"/>
  <sheetViews>
    <sheetView zoomScale="80" zoomScaleNormal="80" workbookViewId="0"/>
  </sheetViews>
  <sheetFormatPr defaultRowHeight="15" x14ac:dyDescent="0.25"/>
  <cols>
    <col min="1" max="1" width="9.140625" style="17"/>
    <col min="2" max="3" width="9.85546875" style="17" customWidth="1"/>
    <col min="4" max="4" width="9.140625" style="17"/>
    <col min="6" max="6" width="13.28515625" bestFit="1" customWidth="1"/>
  </cols>
  <sheetData>
    <row r="1" spans="1:34" ht="24" customHeight="1" x14ac:dyDescent="0.25">
      <c r="A1" s="3" t="s">
        <v>0</v>
      </c>
      <c r="B1" s="18" t="s">
        <v>7</v>
      </c>
      <c r="C1" s="18" t="s">
        <v>8</v>
      </c>
      <c r="D1" s="16" t="s">
        <v>9</v>
      </c>
      <c r="E1" s="5"/>
      <c r="F1" s="4" t="s">
        <v>11</v>
      </c>
      <c r="G1" s="4" t="s">
        <v>12</v>
      </c>
      <c r="H1" s="4" t="s">
        <v>19</v>
      </c>
      <c r="I1" s="5"/>
      <c r="K1" s="5"/>
      <c r="L1" s="5"/>
      <c r="M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11">
        <v>0</v>
      </c>
      <c r="B2" s="11">
        <v>5.8633228601204559</v>
      </c>
      <c r="C2" s="11">
        <f t="shared" ref="C2:C19" si="0" xml:space="preserve"> LOG((10^$G$5 - 10^$G$4) * EXP(-$G$3 *A2 )  + 10^$G$4)</f>
        <v>5.7324177678487702</v>
      </c>
      <c r="D2" s="11">
        <f t="shared" ref="D2:D19" si="1" xml:space="preserve"> (B2 - C2)^2</f>
        <v>1.7136143182658541E-2</v>
      </c>
      <c r="E2" s="5"/>
      <c r="F2" s="5"/>
      <c r="G2" s="22"/>
      <c r="H2" s="22"/>
      <c r="I2" s="5"/>
      <c r="J2" s="5"/>
      <c r="K2" s="5"/>
      <c r="L2" s="6" t="s">
        <v>20</v>
      </c>
      <c r="M2" s="22">
        <v>0.15846336186652771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11">
        <v>0.5</v>
      </c>
      <c r="B3" s="11">
        <v>3.4771212547196626</v>
      </c>
      <c r="C3" s="11">
        <f t="shared" si="0"/>
        <v>3.7837136710160464</v>
      </c>
      <c r="D3" s="11">
        <f t="shared" si="1"/>
        <v>9.3998909730455091E-2</v>
      </c>
      <c r="E3" s="5"/>
      <c r="F3" s="5" t="s">
        <v>13</v>
      </c>
      <c r="G3" s="22">
        <v>10.917226279827629</v>
      </c>
      <c r="H3" s="22">
        <v>3.1418563088388476</v>
      </c>
      <c r="I3" s="5"/>
      <c r="J3" s="5"/>
      <c r="K3" s="5"/>
      <c r="L3" s="6" t="s">
        <v>23</v>
      </c>
      <c r="M3" s="22">
        <f>SQRT(M2)</f>
        <v>0.39807456822375342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11">
        <v>1</v>
      </c>
      <c r="B4" s="11">
        <v>3.2380461031287955</v>
      </c>
      <c r="C4" s="11">
        <f t="shared" si="0"/>
        <v>3.5801255413195858</v>
      </c>
      <c r="D4" s="11">
        <f t="shared" si="1"/>
        <v>0.11701834203292676</v>
      </c>
      <c r="E4" s="5"/>
      <c r="F4" s="5" t="s">
        <v>30</v>
      </c>
      <c r="G4" s="22">
        <v>3.5790130921198111</v>
      </c>
      <c r="H4" s="22">
        <v>0.11523359748447892</v>
      </c>
      <c r="I4" s="5"/>
      <c r="J4" s="5"/>
      <c r="K4" s="5"/>
      <c r="L4" s="6" t="s">
        <v>21</v>
      </c>
      <c r="M4" s="22">
        <v>0.82556637419146328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11">
        <v>2</v>
      </c>
      <c r="B5" s="11">
        <v>3.8633228601204559</v>
      </c>
      <c r="C5" s="11">
        <f t="shared" si="0"/>
        <v>3.579013112328838</v>
      </c>
      <c r="D5" s="11">
        <f t="shared" si="1"/>
        <v>8.0832032689333366E-2</v>
      </c>
      <c r="E5" s="5"/>
      <c r="F5" s="5" t="s">
        <v>14</v>
      </c>
      <c r="G5" s="22">
        <v>5.7324177678487693</v>
      </c>
      <c r="H5" s="22">
        <v>0.22982788401361992</v>
      </c>
      <c r="I5" s="5"/>
      <c r="J5" s="5"/>
      <c r="K5" s="5"/>
      <c r="L5" s="6" t="s">
        <v>22</v>
      </c>
      <c r="M5" s="22">
        <v>0.80230855741699181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11">
        <v>3</v>
      </c>
      <c r="B6" s="11">
        <v>3.9030899869919438</v>
      </c>
      <c r="C6" s="11">
        <f t="shared" si="0"/>
        <v>3.5790130921201784</v>
      </c>
      <c r="D6" s="11">
        <f t="shared" si="1"/>
        <v>0.10502583378972527</v>
      </c>
      <c r="E6" s="5"/>
      <c r="F6" s="5"/>
      <c r="G6" s="22"/>
      <c r="H6" s="22"/>
      <c r="I6" s="5"/>
      <c r="J6" s="5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11">
        <v>4</v>
      </c>
      <c r="B7" s="11">
        <v>3.667452952889954</v>
      </c>
      <c r="C7" s="11">
        <f t="shared" si="0"/>
        <v>3.5790130921198116</v>
      </c>
      <c r="D7" s="11">
        <f t="shared" si="1"/>
        <v>7.8216089730421788E-3</v>
      </c>
      <c r="E7" s="5"/>
      <c r="F7" s="4" t="s">
        <v>24</v>
      </c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11">
        <v>0</v>
      </c>
      <c r="B8" s="11">
        <v>5.6989700043360187</v>
      </c>
      <c r="C8" s="11">
        <f t="shared" si="0"/>
        <v>5.7324177678487702</v>
      </c>
      <c r="D8" s="11">
        <f t="shared" si="1"/>
        <v>1.1187528840049487E-3</v>
      </c>
      <c r="E8" s="5"/>
      <c r="F8" s="5" t="s">
        <v>31</v>
      </c>
      <c r="G8" s="5"/>
      <c r="H8" s="5"/>
      <c r="I8" s="5"/>
      <c r="J8" s="5"/>
      <c r="K8" s="5"/>
      <c r="L8" s="5"/>
      <c r="M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11">
        <v>0.5</v>
      </c>
      <c r="B9" s="11">
        <v>3.3673559210260189</v>
      </c>
      <c r="C9" s="11">
        <f t="shared" si="0"/>
        <v>3.7837136710160464</v>
      </c>
      <c r="D9" s="11">
        <f t="shared" si="1"/>
        <v>0.17335377597675825</v>
      </c>
      <c r="E9" s="5"/>
      <c r="F9" s="4" t="s">
        <v>25</v>
      </c>
      <c r="G9" s="5"/>
      <c r="H9" s="5"/>
      <c r="I9" s="5"/>
      <c r="J9" s="5"/>
      <c r="K9" s="5"/>
      <c r="L9" s="5"/>
      <c r="M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11">
        <v>1</v>
      </c>
      <c r="B10" s="11">
        <v>3.7558748556724915</v>
      </c>
      <c r="C10" s="11">
        <f t="shared" si="0"/>
        <v>3.5801255413195858</v>
      </c>
      <c r="D10" s="11">
        <f t="shared" si="1"/>
        <v>3.0887821495516443E-2</v>
      </c>
      <c r="E10" s="5"/>
      <c r="F10" s="5" t="s">
        <v>32</v>
      </c>
      <c r="G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11">
        <v>2</v>
      </c>
      <c r="B11" s="11">
        <v>4.1238516409670858</v>
      </c>
      <c r="C11" s="11">
        <f t="shared" si="0"/>
        <v>3.579013112328838</v>
      </c>
      <c r="D11" s="11">
        <f t="shared" si="1"/>
        <v>0.29684902228869076</v>
      </c>
      <c r="E11" s="5"/>
      <c r="F11" s="4" t="s">
        <v>26</v>
      </c>
      <c r="G11" s="5"/>
      <c r="H11" s="5"/>
      <c r="I11" s="5"/>
      <c r="J11" s="5"/>
      <c r="K11" s="5"/>
      <c r="L11" s="5"/>
      <c r="M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11">
        <v>3</v>
      </c>
      <c r="B12" s="11">
        <v>3.9708116108725178</v>
      </c>
      <c r="C12" s="11">
        <f t="shared" si="0"/>
        <v>3.5790130921201784</v>
      </c>
      <c r="D12" s="11">
        <f t="shared" si="1"/>
        <v>0.15350607929652724</v>
      </c>
      <c r="E12" s="5"/>
      <c r="F12" s="29" t="s">
        <v>27</v>
      </c>
      <c r="G12" s="30"/>
      <c r="H12" s="30"/>
      <c r="I12" s="30"/>
      <c r="J12" s="30"/>
      <c r="K12" s="30"/>
      <c r="L12" s="30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11">
        <v>4</v>
      </c>
      <c r="B13" s="11">
        <v>3.5440680443502757</v>
      </c>
      <c r="C13" s="11">
        <f t="shared" si="0"/>
        <v>3.5790130921198116</v>
      </c>
      <c r="D13" s="11">
        <f t="shared" si="1"/>
        <v>1.2211563636151451E-3</v>
      </c>
      <c r="E13" s="5"/>
      <c r="F13" s="30"/>
      <c r="G13" s="30"/>
      <c r="H13" s="30"/>
      <c r="I13" s="30"/>
      <c r="J13" s="30"/>
      <c r="K13" s="30"/>
      <c r="L13" s="30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11">
        <v>0</v>
      </c>
      <c r="B14" s="11">
        <v>5.6334684555795862</v>
      </c>
      <c r="C14" s="11">
        <f t="shared" si="0"/>
        <v>5.7324177678487702</v>
      </c>
      <c r="D14" s="11">
        <f t="shared" si="1"/>
        <v>9.7909663985444907E-3</v>
      </c>
      <c r="E14" s="5"/>
      <c r="F14" s="30"/>
      <c r="G14" s="30"/>
      <c r="H14" s="30"/>
      <c r="I14" s="30"/>
      <c r="J14" s="30"/>
      <c r="K14" s="30"/>
      <c r="L14" s="30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11">
        <v>0.5</v>
      </c>
      <c r="B15" s="11">
        <v>4.5145477526602864</v>
      </c>
      <c r="C15" s="11">
        <f t="shared" si="0"/>
        <v>3.7837136710160464</v>
      </c>
      <c r="D15" s="11">
        <f t="shared" si="1"/>
        <v>0.53411845489277965</v>
      </c>
      <c r="E15" s="5"/>
      <c r="F15" s="5"/>
      <c r="G15" s="5"/>
      <c r="H15" s="5"/>
      <c r="I15" s="5"/>
      <c r="J15" s="5"/>
      <c r="K15" s="5"/>
      <c r="L15" s="5"/>
      <c r="M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11">
        <v>1</v>
      </c>
      <c r="B16" s="11">
        <v>3.167317334748176</v>
      </c>
      <c r="C16" s="11">
        <f t="shared" si="0"/>
        <v>3.5801255413195858</v>
      </c>
      <c r="D16" s="11">
        <f t="shared" si="1"/>
        <v>0.17041061541270375</v>
      </c>
      <c r="E16" s="5"/>
      <c r="F16" s="5"/>
      <c r="G16" s="5"/>
      <c r="H16" s="5"/>
      <c r="I16" s="5"/>
      <c r="J16" s="5"/>
      <c r="K16" s="5"/>
      <c r="L16" s="5"/>
      <c r="M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11">
        <v>2</v>
      </c>
      <c r="B17" s="11">
        <v>3.2227164711475833</v>
      </c>
      <c r="C17" s="11">
        <f t="shared" si="0"/>
        <v>3.579013112328838</v>
      </c>
      <c r="D17" s="11">
        <f t="shared" si="1"/>
        <v>0.12694729651704376</v>
      </c>
      <c r="E17" s="5"/>
      <c r="F17" s="5"/>
      <c r="G17" s="5"/>
      <c r="H17" s="5"/>
      <c r="I17" s="5"/>
      <c r="J17" s="5"/>
      <c r="K17" s="5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11">
        <v>3</v>
      </c>
      <c r="B18" s="11">
        <v>3.5854607295085006</v>
      </c>
      <c r="C18" s="11">
        <f t="shared" si="0"/>
        <v>3.5790130921201784</v>
      </c>
      <c r="D18" s="11">
        <f t="shared" si="1"/>
        <v>4.1572027891290495E-5</v>
      </c>
      <c r="E18" s="5"/>
      <c r="F18" s="5"/>
      <c r="G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11">
        <v>4</v>
      </c>
      <c r="B19" s="11">
        <v>2.9030899869919438</v>
      </c>
      <c r="C19" s="11">
        <f t="shared" si="0"/>
        <v>3.5790130921198116</v>
      </c>
      <c r="D19" s="11">
        <f t="shared" si="1"/>
        <v>0.45687204404569864</v>
      </c>
      <c r="E19" s="5"/>
      <c r="F19" s="5"/>
      <c r="G19" s="5"/>
      <c r="H19" s="5"/>
      <c r="I19" s="5"/>
      <c r="J19" s="5"/>
      <c r="K19" s="5"/>
      <c r="L19" s="5"/>
      <c r="M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16" t="s">
        <v>10</v>
      </c>
      <c r="B20" s="11"/>
      <c r="C20" s="11"/>
      <c r="D20" s="11">
        <f>SUM(D2:D19)</f>
        <v>2.3769504279979157</v>
      </c>
      <c r="E20" s="5"/>
      <c r="F20" s="5"/>
      <c r="G20" s="5"/>
      <c r="H20" s="5"/>
      <c r="I20" s="5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11"/>
      <c r="B21" s="11"/>
      <c r="C21" s="11"/>
      <c r="D21" s="11"/>
      <c r="E21" s="5"/>
      <c r="F21" s="5"/>
      <c r="G21" s="5"/>
      <c r="H21" s="5"/>
      <c r="I21" s="5"/>
      <c r="J21" s="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11"/>
      <c r="B22" s="11"/>
      <c r="C22" s="11"/>
      <c r="D22" s="11"/>
      <c r="E22" s="5"/>
      <c r="F22" s="5"/>
      <c r="G22" s="5"/>
      <c r="H22" s="5"/>
      <c r="I22" s="5"/>
      <c r="J22" s="5"/>
      <c r="K22" s="5"/>
      <c r="L22" s="5"/>
      <c r="M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21">
        <v>0</v>
      </c>
      <c r="B23" s="21"/>
      <c r="C23" s="21">
        <f xml:space="preserve"> LOG((10^$G$5 - 10^$G$4) * EXP(-$G$3 *A23 )  + 10^$G$4)</f>
        <v>5.7324177678487702</v>
      </c>
      <c r="D23" s="21"/>
      <c r="E23" s="5"/>
      <c r="F23" s="5"/>
      <c r="G23" s="5"/>
      <c r="H23" s="5"/>
      <c r="I23" s="5"/>
      <c r="J23" s="5"/>
      <c r="K23" s="5"/>
      <c r="L23" s="5"/>
      <c r="M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21">
        <v>0.01</v>
      </c>
      <c r="B24" s="21"/>
      <c r="C24" s="21">
        <f t="shared" ref="C24:C25" si="2" xml:space="preserve"> LOG((10^$G$5 - 10^$G$4) * EXP(-$G$3 *A24 )  + 10^$G$4)</f>
        <v>5.6853566098278252</v>
      </c>
      <c r="D24" s="21"/>
      <c r="E24" s="5"/>
      <c r="F24" s="5"/>
      <c r="G24" s="5"/>
      <c r="H24" s="5"/>
      <c r="I24" s="5"/>
      <c r="J24" s="5"/>
      <c r="K24" s="5"/>
      <c r="L24" s="5"/>
      <c r="M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21">
        <v>0.02</v>
      </c>
      <c r="B25" s="21"/>
      <c r="C25" s="21">
        <f t="shared" si="2"/>
        <v>5.6383356923213199</v>
      </c>
      <c r="D25" s="21"/>
      <c r="E25" s="5"/>
      <c r="F25" s="5"/>
      <c r="G25" s="5"/>
      <c r="H25" s="5"/>
      <c r="I25" s="5"/>
      <c r="J25" s="5"/>
      <c r="K25" s="5"/>
      <c r="L25" s="5"/>
      <c r="M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21">
        <v>0.03</v>
      </c>
      <c r="B26" s="21"/>
      <c r="C26" s="21">
        <f t="shared" ref="C26:C89" si="3" xml:space="preserve"> LOG((10^$G$5 - 10^$G$4) * EXP(-$G$3 *A26 )  + 10^$G$4)</f>
        <v>5.5913595760685313</v>
      </c>
      <c r="D26" s="21"/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21">
        <v>0.04</v>
      </c>
      <c r="B27" s="21"/>
      <c r="C27" s="21">
        <f t="shared" si="3"/>
        <v>5.5444333283903484</v>
      </c>
      <c r="D27" s="21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21">
        <v>0.05</v>
      </c>
      <c r="B28" s="21"/>
      <c r="C28" s="21">
        <f t="shared" si="3"/>
        <v>5.4975625769733041</v>
      </c>
      <c r="D28" s="21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21">
        <v>0.06</v>
      </c>
      <c r="B29" s="21"/>
      <c r="C29" s="21">
        <f t="shared" si="3"/>
        <v>5.450753568764636</v>
      </c>
      <c r="D29" s="21"/>
      <c r="E29" s="5"/>
      <c r="F29" s="5"/>
      <c r="G29" s="5"/>
      <c r="H29" s="5"/>
      <c r="I29" s="5"/>
      <c r="J29" s="5"/>
      <c r="K29" s="5"/>
      <c r="L29" s="5"/>
      <c r="M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21">
        <v>7.0000000000000007E-2</v>
      </c>
      <c r="B30" s="21"/>
      <c r="C30" s="21">
        <f t="shared" si="3"/>
        <v>5.4040132343169853</v>
      </c>
      <c r="D30" s="21"/>
      <c r="E30" s="5"/>
      <c r="F30" s="5"/>
      <c r="G30" s="5"/>
      <c r="H30" s="5"/>
      <c r="I30" s="5"/>
      <c r="J30" s="5"/>
      <c r="K30" s="5"/>
      <c r="L30" s="5"/>
      <c r="M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21">
        <v>0.08</v>
      </c>
      <c r="B31" s="21"/>
      <c r="C31" s="21">
        <f t="shared" si="3"/>
        <v>5.3573492579051143</v>
      </c>
      <c r="D31" s="21"/>
      <c r="E31" s="5"/>
      <c r="F31" s="5"/>
      <c r="G31" s="5"/>
      <c r="H31" s="5"/>
      <c r="I31" s="5"/>
      <c r="J31" s="5"/>
      <c r="K31" s="5"/>
      <c r="L31" s="5"/>
      <c r="M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21">
        <v>0.09</v>
      </c>
      <c r="B32" s="21"/>
      <c r="C32" s="21">
        <f t="shared" si="3"/>
        <v>5.3107701537074368</v>
      </c>
      <c r="D32" s="21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21">
        <v>0.1</v>
      </c>
      <c r="B33" s="21"/>
      <c r="C33" s="21">
        <f t="shared" si="3"/>
        <v>5.2642853482988876</v>
      </c>
      <c r="D33" s="21"/>
      <c r="E33" s="5"/>
      <c r="F33" s="5"/>
      <c r="G33" s="5"/>
      <c r="H33" s="5"/>
      <c r="I33" s="5"/>
      <c r="J33" s="5"/>
      <c r="K33" s="5"/>
      <c r="L33" s="5"/>
      <c r="M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21">
        <v>0.11</v>
      </c>
      <c r="B34" s="21"/>
      <c r="C34" s="21">
        <f t="shared" si="3"/>
        <v>5.2179052696343549</v>
      </c>
      <c r="D34" s="21"/>
      <c r="E34" s="5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21">
        <v>0.12</v>
      </c>
      <c r="B35" s="21"/>
      <c r="C35" s="21">
        <f t="shared" si="3"/>
        <v>5.1716414426088573</v>
      </c>
      <c r="D35" s="21"/>
      <c r="E35" s="5"/>
      <c r="F35" s="5"/>
      <c r="G35" s="5"/>
      <c r="H35" s="5"/>
      <c r="I35" s="5"/>
      <c r="J35" s="5"/>
      <c r="K35" s="5"/>
      <c r="L35" s="5"/>
      <c r="M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21">
        <v>0.13</v>
      </c>
      <c r="B36" s="21"/>
      <c r="C36" s="21">
        <f t="shared" si="3"/>
        <v>5.1255065911561291</v>
      </c>
      <c r="D36" s="21"/>
      <c r="E36" s="5"/>
      <c r="F36" s="5"/>
      <c r="G36" s="5"/>
      <c r="H36" s="5"/>
      <c r="I36" s="5"/>
      <c r="J36" s="5"/>
      <c r="K36" s="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21">
        <v>0.14000000000000001</v>
      </c>
      <c r="B37" s="21"/>
      <c r="C37" s="21">
        <f t="shared" si="3"/>
        <v>5.0795147466851658</v>
      </c>
      <c r="D37" s="21"/>
      <c r="E37" s="5"/>
      <c r="F37" s="5"/>
      <c r="G37" s="5"/>
      <c r="H37" s="5"/>
      <c r="I37" s="5"/>
      <c r="J37" s="5"/>
      <c r="K37" s="5"/>
      <c r="L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21">
        <v>0.15</v>
      </c>
      <c r="B38" s="21"/>
      <c r="C38" s="21">
        <f t="shared" si="3"/>
        <v>5.0336813624476102</v>
      </c>
      <c r="D38" s="21"/>
      <c r="E38" s="5"/>
      <c r="F38" s="5"/>
      <c r="G38" s="5"/>
      <c r="H38" s="5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21">
        <v>0.16</v>
      </c>
      <c r="B39" s="21"/>
      <c r="C39" s="21">
        <f t="shared" si="3"/>
        <v>4.9880234331702962</v>
      </c>
      <c r="D39" s="21"/>
      <c r="E39" s="5"/>
      <c r="F39" s="5"/>
      <c r="G39" s="5"/>
      <c r="H39" s="5"/>
      <c r="I39" s="5"/>
      <c r="J39" s="5"/>
      <c r="K39" s="5"/>
      <c r="L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21">
        <v>0.17</v>
      </c>
      <c r="B40" s="21"/>
      <c r="C40" s="21">
        <f t="shared" si="3"/>
        <v>4.9425596189693319</v>
      </c>
      <c r="D40" s="21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21">
        <v>0.18</v>
      </c>
      <c r="B41" s="21"/>
      <c r="C41" s="21">
        <f t="shared" si="3"/>
        <v>4.8973103721775013</v>
      </c>
      <c r="D41" s="21"/>
      <c r="E41" s="5"/>
      <c r="F41" s="5"/>
      <c r="G41" s="5"/>
      <c r="H41" s="5"/>
      <c r="I41" s="5"/>
      <c r="J41" s="5"/>
      <c r="K41" s="5"/>
      <c r="L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21">
        <v>0.19</v>
      </c>
      <c r="B42" s="21"/>
      <c r="C42" s="21">
        <f t="shared" si="3"/>
        <v>4.8522980652591805</v>
      </c>
      <c r="D42" s="21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21">
        <v>0.2</v>
      </c>
      <c r="B43" s="21"/>
      <c r="C43" s="21">
        <f t="shared" si="3"/>
        <v>4.8075471174517244</v>
      </c>
      <c r="D43" s="21"/>
      <c r="E43" s="5"/>
      <c r="F43" s="5"/>
      <c r="G43" s="5"/>
      <c r="H43" s="5"/>
      <c r="I43" s="5"/>
      <c r="J43" s="5"/>
      <c r="K43" s="5"/>
      <c r="L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21">
        <v>0.21</v>
      </c>
      <c r="B44" s="21"/>
      <c r="C44" s="21">
        <f t="shared" si="3"/>
        <v>4.7630841171578187</v>
      </c>
      <c r="D44" s="21"/>
      <c r="E44" s="5"/>
      <c r="F44" s="5"/>
      <c r="G44" s="5"/>
      <c r="H44" s="5"/>
      <c r="I44" s="5"/>
      <c r="J44" s="5"/>
      <c r="K44" s="5"/>
      <c r="L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21">
        <v>0.22</v>
      </c>
      <c r="B45" s="21"/>
      <c r="C45" s="21">
        <f t="shared" si="3"/>
        <v>4.718937936422317</v>
      </c>
      <c r="D45" s="21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21">
        <v>0.23</v>
      </c>
      <c r="B46" s="21"/>
      <c r="C46" s="21">
        <f t="shared" si="3"/>
        <v>4.6751398330685907</v>
      </c>
      <c r="D46" s="21"/>
      <c r="E46" s="5"/>
      <c r="F46" s="5"/>
      <c r="G46" s="5"/>
      <c r="H46" s="5"/>
      <c r="I46" s="5"/>
      <c r="J46" s="5"/>
      <c r="K46" s="5"/>
      <c r="L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21">
        <v>0.24</v>
      </c>
      <c r="B47" s="21"/>
      <c r="C47" s="21">
        <f t="shared" si="3"/>
        <v>4.6317235352608295</v>
      </c>
      <c r="D47" s="21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21">
        <v>0.25</v>
      </c>
      <c r="B48" s="21"/>
      <c r="C48" s="21">
        <f t="shared" si="3"/>
        <v>4.5887253024279984</v>
      </c>
      <c r="D48" s="21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21">
        <v>0.26</v>
      </c>
      <c r="B49" s="21"/>
      <c r="C49" s="21">
        <f t="shared" si="3"/>
        <v>4.5461839556733787</v>
      </c>
      <c r="D49" s="21"/>
      <c r="E49" s="5"/>
      <c r="F49" s="5"/>
      <c r="G49" s="5"/>
      <c r="H49" s="5"/>
      <c r="I49" s="5"/>
      <c r="J49" s="5"/>
      <c r="K49" s="5"/>
      <c r="L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21">
        <v>0.27</v>
      </c>
      <c r="B50" s="21"/>
      <c r="C50" s="21">
        <f t="shared" si="3"/>
        <v>4.5041408700569283</v>
      </c>
      <c r="D50" s="21"/>
      <c r="E50" s="5"/>
      <c r="F50" s="5"/>
      <c r="G50" s="5"/>
      <c r="H50" s="5"/>
      <c r="I50" s="5"/>
      <c r="J50" s="5"/>
      <c r="K50" s="5"/>
      <c r="L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21">
        <v>0.28000000000000003</v>
      </c>
      <c r="B51" s="21"/>
      <c r="C51" s="21">
        <f t="shared" si="3"/>
        <v>4.4626399205486607</v>
      </c>
      <c r="D51" s="21"/>
      <c r="E51" s="5"/>
      <c r="F51" s="5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21">
        <v>0.28999999999999998</v>
      </c>
      <c r="B52" s="21"/>
      <c r="C52" s="21">
        <f t="shared" si="3"/>
        <v>4.421727373099011</v>
      </c>
      <c r="D52" s="21"/>
      <c r="E52" s="5"/>
      <c r="F52" s="5"/>
      <c r="G52" s="5"/>
      <c r="H52" s="5"/>
      <c r="I52" s="5"/>
      <c r="J52" s="5"/>
      <c r="K52" s="5"/>
      <c r="L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21">
        <v>0.3</v>
      </c>
      <c r="B53" s="21"/>
      <c r="C53" s="21">
        <f t="shared" si="3"/>
        <v>4.3814517122605494</v>
      </c>
      <c r="D53" s="21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21">
        <v>0.31</v>
      </c>
      <c r="B54" s="21"/>
      <c r="C54" s="21">
        <f t="shared" si="3"/>
        <v>4.3418633972382317</v>
      </c>
      <c r="D54" s="21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21">
        <v>0.32</v>
      </c>
      <c r="B55" s="21"/>
      <c r="C55" s="21">
        <f t="shared" si="3"/>
        <v>4.3030145392584043</v>
      </c>
      <c r="D55" s="21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21">
        <v>0.33</v>
      </c>
      <c r="B56" s="21"/>
      <c r="C56" s="21">
        <f t="shared" si="3"/>
        <v>4.2649584948357484</v>
      </c>
      <c r="D56" s="21"/>
      <c r="E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21">
        <v>0.34</v>
      </c>
      <c r="B57" s="21"/>
      <c r="C57" s="21">
        <f t="shared" si="3"/>
        <v>4.2277493719618517</v>
      </c>
      <c r="D57" s="21"/>
      <c r="E57" s="5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21">
        <v>0.35</v>
      </c>
      <c r="B58" s="21"/>
      <c r="C58" s="21">
        <f t="shared" si="3"/>
        <v>4.1914414494737153</v>
      </c>
      <c r="D58" s="21"/>
      <c r="E58" s="5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21">
        <v>0.36</v>
      </c>
      <c r="B59" s="21"/>
      <c r="C59" s="21">
        <f t="shared" si="3"/>
        <v>4.1560885138538985</v>
      </c>
      <c r="D59" s="21"/>
      <c r="E59" s="5"/>
      <c r="F59" s="5"/>
      <c r="G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21">
        <v>0.37</v>
      </c>
      <c r="B60" s="21"/>
      <c r="C60" s="21">
        <f t="shared" si="3"/>
        <v>4.1217431223503151</v>
      </c>
      <c r="D60" s="21"/>
      <c r="E60" s="5"/>
      <c r="F60" s="5"/>
      <c r="G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21">
        <v>0.38</v>
      </c>
      <c r="B61" s="21"/>
      <c r="C61" s="21">
        <f t="shared" si="3"/>
        <v>4.0884558063683674</v>
      </c>
      <c r="D61" s="21"/>
      <c r="E61" s="5"/>
      <c r="F61" s="5"/>
      <c r="G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21">
        <v>0.39</v>
      </c>
      <c r="B62" s="21"/>
      <c r="C62" s="21">
        <f t="shared" si="3"/>
        <v>4.0562742342649525</v>
      </c>
      <c r="D62" s="21"/>
      <c r="E62" s="5"/>
      <c r="F62" s="5"/>
      <c r="G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21">
        <v>0.4</v>
      </c>
      <c r="B63" s="21"/>
      <c r="C63" s="21">
        <f t="shared" si="3"/>
        <v>4.0252423575553671</v>
      </c>
      <c r="D63" s="21"/>
      <c r="E63" s="5"/>
      <c r="F63" s="5"/>
      <c r="G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21">
        <v>0.41</v>
      </c>
      <c r="B64" s="21"/>
      <c r="C64" s="21">
        <f t="shared" si="3"/>
        <v>3.9953995686599306</v>
      </c>
      <c r="D64" s="21"/>
      <c r="E64" s="5"/>
      <c r="F64" s="5"/>
      <c r="G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25">
      <c r="A65" s="21">
        <v>0.42</v>
      </c>
      <c r="B65" s="21"/>
      <c r="C65" s="21">
        <f t="shared" si="3"/>
        <v>3.9667799011800091</v>
      </c>
      <c r="D65" s="21"/>
      <c r="E65" s="5"/>
      <c r="F65" s="5"/>
      <c r="G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5">
      <c r="A66" s="21">
        <v>0.43</v>
      </c>
      <c r="B66" s="21"/>
      <c r="C66" s="21">
        <f t="shared" si="3"/>
        <v>3.9394113048591022</v>
      </c>
      <c r="D66" s="21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5">
      <c r="A67" s="21">
        <v>0.44</v>
      </c>
      <c r="B67" s="21"/>
      <c r="C67" s="21">
        <f t="shared" si="3"/>
        <v>3.9133150265200762</v>
      </c>
      <c r="D67" s="21"/>
      <c r="E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21">
        <v>0.45</v>
      </c>
      <c r="B68" s="21"/>
      <c r="C68" s="21">
        <f t="shared" si="3"/>
        <v>3.8885051252140439</v>
      </c>
      <c r="D68" s="21"/>
      <c r="E68" s="5"/>
      <c r="F68" s="5"/>
      <c r="G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5">
      <c r="A69" s="21">
        <v>0.46</v>
      </c>
      <c r="B69" s="21"/>
      <c r="C69" s="21">
        <f t="shared" si="3"/>
        <v>3.8649881446280459</v>
      </c>
      <c r="D69" s="21"/>
      <c r="E69" s="5"/>
      <c r="F69" s="5"/>
      <c r="G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25">
      <c r="A70" s="21">
        <v>0.47</v>
      </c>
      <c r="B70" s="21"/>
      <c r="C70" s="21">
        <f t="shared" si="3"/>
        <v>3.8427629587722856</v>
      </c>
      <c r="D70" s="21"/>
      <c r="E70" s="5"/>
      <c r="F70" s="5"/>
      <c r="G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25">
      <c r="A71" s="21">
        <v>0.48</v>
      </c>
      <c r="B71" s="21"/>
      <c r="C71" s="21">
        <f t="shared" si="3"/>
        <v>3.8218207986162587</v>
      </c>
      <c r="D71" s="21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5">
      <c r="A72" s="21">
        <v>0.49</v>
      </c>
      <c r="B72" s="21"/>
      <c r="C72" s="21">
        <f t="shared" si="3"/>
        <v>3.802145458344417</v>
      </c>
      <c r="D72" s="21"/>
      <c r="E72" s="5"/>
      <c r="F72" s="5"/>
      <c r="G72" s="5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25">
      <c r="A73" s="21">
        <v>0.5</v>
      </c>
      <c r="B73" s="21"/>
      <c r="C73" s="21">
        <f t="shared" si="3"/>
        <v>3.7837136710160464</v>
      </c>
      <c r="D73" s="21"/>
      <c r="E73" s="5"/>
      <c r="F73" s="5"/>
      <c r="G73" s="5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25">
      <c r="A74" s="21">
        <v>0.51</v>
      </c>
      <c r="B74" s="21"/>
      <c r="C74" s="21">
        <f t="shared" si="3"/>
        <v>3.7664956353865788</v>
      </c>
      <c r="D74" s="21"/>
      <c r="E74" s="5"/>
      <c r="F74" s="5"/>
      <c r="G74" s="5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25">
      <c r="A75" s="21">
        <v>0.52</v>
      </c>
      <c r="B75" s="21"/>
      <c r="C75" s="21">
        <f t="shared" si="3"/>
        <v>3.7504556691154556</v>
      </c>
      <c r="D75" s="21"/>
      <c r="E75" s="5"/>
      <c r="F75" s="5"/>
      <c r="G75" s="5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5">
      <c r="A76" s="21">
        <v>0.53</v>
      </c>
      <c r="B76" s="21"/>
      <c r="C76" s="21">
        <f t="shared" si="3"/>
        <v>3.7355529590020415</v>
      </c>
      <c r="D76" s="21"/>
      <c r="E76" s="5"/>
      <c r="F76" s="5"/>
      <c r="G76" s="5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25">
      <c r="A77" s="21">
        <v>0.54</v>
      </c>
      <c r="B77" s="21"/>
      <c r="C77" s="21">
        <f t="shared" si="3"/>
        <v>3.721742376481652</v>
      </c>
      <c r="D77" s="21"/>
      <c r="E77" s="5"/>
      <c r="F77" s="5"/>
      <c r="G77" s="5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25">
      <c r="A78" s="21">
        <v>0.55000000000000004</v>
      </c>
      <c r="B78" s="21"/>
      <c r="C78" s="21">
        <f t="shared" si="3"/>
        <v>3.7089753263693988</v>
      </c>
      <c r="D78" s="21"/>
      <c r="E78" s="5"/>
      <c r="F78" s="5"/>
      <c r="G78" s="5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25">
      <c r="A79" s="21">
        <v>0.56000000000000005</v>
      </c>
      <c r="B79" s="21"/>
      <c r="C79" s="21">
        <f t="shared" si="3"/>
        <v>3.6972005985433327</v>
      </c>
      <c r="D79" s="21"/>
      <c r="E79" s="5"/>
      <c r="F79" s="5"/>
      <c r="G79" s="5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5">
      <c r="A80" s="21">
        <v>0.56999999999999995</v>
      </c>
      <c r="B80" s="21"/>
      <c r="C80" s="21">
        <f t="shared" si="3"/>
        <v>3.6863651955374013</v>
      </c>
      <c r="D80" s="21"/>
      <c r="E80" s="5"/>
      <c r="F80" s="5"/>
      <c r="G80" s="5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25">
      <c r="A81" s="21">
        <v>0.57999999999999996</v>
      </c>
      <c r="B81" s="21"/>
      <c r="C81" s="21">
        <f t="shared" si="3"/>
        <v>3.6764151134055822</v>
      </c>
      <c r="D81" s="21"/>
      <c r="E81" s="5"/>
      <c r="F81" s="5"/>
      <c r="G81" s="5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25">
      <c r="A82" s="21">
        <v>0.59</v>
      </c>
      <c r="B82" s="21"/>
      <c r="C82" s="21">
        <f t="shared" si="3"/>
        <v>3.6672960582331768</v>
      </c>
      <c r="D82" s="21"/>
      <c r="E82" s="5"/>
      <c r="F82" s="5"/>
      <c r="G82" s="5"/>
      <c r="H82" s="5"/>
      <c r="I82" s="5"/>
      <c r="J82" s="5"/>
      <c r="K82" s="5"/>
      <c r="L82" s="5"/>
      <c r="M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5">
      <c r="A83" s="21">
        <v>0.6</v>
      </c>
      <c r="B83" s="21"/>
      <c r="C83" s="21">
        <f t="shared" si="3"/>
        <v>3.6589540858537406</v>
      </c>
      <c r="D83" s="21"/>
      <c r="E83" s="5"/>
      <c r="F83" s="5"/>
      <c r="G83" s="5"/>
      <c r="H83" s="5"/>
      <c r="I83" s="5"/>
      <c r="J83" s="5"/>
      <c r="K83" s="5"/>
      <c r="L83" s="5"/>
      <c r="M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5">
      <c r="A84" s="21">
        <v>0.61</v>
      </c>
      <c r="B84" s="21"/>
      <c r="C84" s="21">
        <f t="shared" si="3"/>
        <v>3.6513361572976271</v>
      </c>
      <c r="D84" s="21"/>
      <c r="E84" s="5"/>
      <c r="F84" s="5"/>
      <c r="G84" s="5"/>
      <c r="H84" s="5"/>
      <c r="I84" s="5"/>
      <c r="J84" s="5"/>
      <c r="K84" s="5"/>
      <c r="L84" s="5"/>
      <c r="M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5">
      <c r="A85" s="21">
        <v>0.62</v>
      </c>
      <c r="B85" s="21"/>
      <c r="C85" s="21">
        <f t="shared" si="3"/>
        <v>3.6443906069637024</v>
      </c>
      <c r="D85" s="21"/>
      <c r="E85" s="5"/>
      <c r="F85" s="5"/>
      <c r="G85" s="5"/>
      <c r="H85" s="5"/>
      <c r="I85" s="5"/>
      <c r="J85" s="5"/>
      <c r="K85" s="5"/>
      <c r="L85" s="5"/>
      <c r="M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25">
      <c r="A86" s="21">
        <v>0.63</v>
      </c>
      <c r="B86" s="21"/>
      <c r="C86" s="21">
        <f t="shared" si="3"/>
        <v>3.6380675242848692</v>
      </c>
      <c r="D86" s="21"/>
      <c r="E86" s="5"/>
      <c r="F86" s="5"/>
      <c r="G86" s="5"/>
      <c r="H86" s="5"/>
      <c r="I86" s="5"/>
      <c r="J86" s="5"/>
      <c r="K86" s="5"/>
      <c r="L86" s="5"/>
      <c r="M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5">
      <c r="A87" s="21">
        <v>0.64</v>
      </c>
      <c r="B87" s="21"/>
      <c r="C87" s="21">
        <f t="shared" si="3"/>
        <v>3.6323190526610971</v>
      </c>
      <c r="D87" s="21"/>
      <c r="E87" s="5"/>
      <c r="F87" s="5"/>
      <c r="G87" s="5"/>
      <c r="H87" s="5"/>
      <c r="I87" s="5"/>
      <c r="J87" s="5"/>
      <c r="K87" s="5"/>
      <c r="L87" s="5"/>
      <c r="M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5">
      <c r="A88" s="21">
        <v>0.65</v>
      </c>
      <c r="B88" s="21"/>
      <c r="C88" s="21">
        <f t="shared" si="3"/>
        <v>3.6270996116508871</v>
      </c>
      <c r="D88" s="21"/>
      <c r="E88" s="5"/>
      <c r="F88" s="5"/>
      <c r="G88" s="5"/>
      <c r="H88" s="5"/>
      <c r="I88" s="5"/>
      <c r="J88" s="5"/>
      <c r="K88" s="5"/>
      <c r="L88" s="5"/>
      <c r="M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5">
      <c r="A89" s="21">
        <v>0.66</v>
      </c>
      <c r="B89" s="21"/>
      <c r="C89" s="21">
        <f t="shared" si="3"/>
        <v>3.6223660498933086</v>
      </c>
      <c r="D89" s="21"/>
      <c r="E89" s="5"/>
      <c r="F89" s="5"/>
      <c r="G89" s="5"/>
      <c r="H89" s="5"/>
      <c r="I89" s="5"/>
      <c r="J89" s="5"/>
      <c r="K89" s="5"/>
      <c r="L89" s="5"/>
      <c r="M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5">
      <c r="A90" s="21">
        <v>0.67</v>
      </c>
      <c r="B90" s="21"/>
      <c r="C90" s="21">
        <f t="shared" ref="C90:C153" si="4" xml:space="preserve"> LOG((10^$G$5 - 10^$G$4) * EXP(-$G$3 *A90 )  + 10^$G$4)</f>
        <v>3.6180777370670918</v>
      </c>
      <c r="D90" s="21"/>
      <c r="E90" s="5"/>
      <c r="F90" s="5"/>
      <c r="G90" s="5"/>
      <c r="H90" s="5"/>
      <c r="I90" s="5"/>
      <c r="J90" s="5"/>
      <c r="K90" s="5"/>
      <c r="L90" s="5"/>
      <c r="M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5">
      <c r="A91" s="21">
        <v>0.68</v>
      </c>
      <c r="B91" s="21"/>
      <c r="C91" s="21">
        <f t="shared" si="4"/>
        <v>3.6141966034908708</v>
      </c>
      <c r="D91" s="21"/>
      <c r="E91" s="5"/>
      <c r="F91" s="5"/>
      <c r="G91" s="5"/>
      <c r="H91" s="5"/>
      <c r="I91" s="5"/>
      <c r="J91" s="5"/>
      <c r="K91" s="5"/>
      <c r="L91" s="5"/>
      <c r="M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5">
      <c r="A92" s="21">
        <v>0.69</v>
      </c>
      <c r="B92" s="21"/>
      <c r="C92" s="21">
        <f t="shared" si="4"/>
        <v>3.6106871358458279</v>
      </c>
      <c r="D92" s="21"/>
      <c r="E92" s="5"/>
      <c r="F92" s="5"/>
      <c r="G92" s="5"/>
      <c r="H92" s="5"/>
      <c r="I92" s="5"/>
      <c r="J92" s="5"/>
      <c r="K92" s="5"/>
      <c r="L92" s="5"/>
      <c r="M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5">
      <c r="A93" s="21">
        <v>0.7</v>
      </c>
      <c r="B93" s="21"/>
      <c r="C93" s="21">
        <f t="shared" si="4"/>
        <v>3.6075163370702419</v>
      </c>
      <c r="D93" s="21"/>
      <c r="E93" s="5"/>
      <c r="F93" s="5"/>
      <c r="G93" s="5"/>
      <c r="H93" s="5"/>
      <c r="I93" s="5"/>
      <c r="J93" s="5"/>
      <c r="K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5">
      <c r="A94" s="21">
        <v>0.71</v>
      </c>
      <c r="B94" s="21"/>
      <c r="C94" s="21">
        <f t="shared" si="4"/>
        <v>3.6046536578346435</v>
      </c>
      <c r="D94" s="21"/>
      <c r="E94" s="5"/>
      <c r="F94" s="5"/>
      <c r="G94" s="5"/>
      <c r="H94" s="5"/>
      <c r="I94" s="5"/>
      <c r="J94" s="5"/>
      <c r="K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5">
      <c r="A95" s="21">
        <v>0.72</v>
      </c>
      <c r="B95" s="21"/>
      <c r="C95" s="21">
        <f t="shared" si="4"/>
        <v>3.6020709062408294</v>
      </c>
      <c r="D95" s="21"/>
      <c r="E95" s="5"/>
      <c r="F95" s="5"/>
      <c r="G95" s="5"/>
      <c r="H95" s="5"/>
      <c r="I95" s="5"/>
      <c r="J95" s="5"/>
      <c r="K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25">
      <c r="A96" s="21">
        <v>0.73</v>
      </c>
      <c r="B96" s="21"/>
      <c r="C96" s="21">
        <f t="shared" si="4"/>
        <v>3.5997421415655433</v>
      </c>
      <c r="D96" s="21"/>
      <c r="E96" s="5"/>
      <c r="F96" s="5"/>
      <c r="G96" s="5"/>
      <c r="H96" s="5"/>
      <c r="I96" s="5"/>
      <c r="J96" s="5"/>
      <c r="K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5">
      <c r="A97" s="21">
        <v>0.74</v>
      </c>
      <c r="B97" s="21"/>
      <c r="C97" s="21">
        <f t="shared" si="4"/>
        <v>3.5976435570417724</v>
      </c>
      <c r="D97" s="21"/>
      <c r="E97" s="5"/>
      <c r="F97" s="5"/>
      <c r="G97" s="5"/>
      <c r="H97" s="5"/>
      <c r="I97" s="5"/>
      <c r="J97" s="5"/>
      <c r="K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5">
      <c r="A98" s="21">
        <v>0.75</v>
      </c>
      <c r="B98" s="21"/>
      <c r="C98" s="21">
        <f t="shared" si="4"/>
        <v>3.5957533558742987</v>
      </c>
      <c r="D98" s="21"/>
      <c r="E98" s="5"/>
      <c r="F98" s="5"/>
      <c r="G98" s="5"/>
      <c r="H98" s="5"/>
      <c r="I98" s="5"/>
      <c r="J98" s="5"/>
      <c r="K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25">
      <c r="A99" s="21">
        <v>0.76</v>
      </c>
      <c r="B99" s="21"/>
      <c r="C99" s="21">
        <f t="shared" si="4"/>
        <v>3.5940516239460534</v>
      </c>
      <c r="D99" s="21"/>
      <c r="E99" s="5"/>
      <c r="F99" s="5"/>
      <c r="G99" s="5"/>
      <c r="H99" s="5"/>
      <c r="I99" s="5"/>
      <c r="J99" s="5"/>
      <c r="K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25">
      <c r="A100" s="21">
        <v>0.77</v>
      </c>
      <c r="B100" s="21"/>
      <c r="C100" s="21">
        <f t="shared" si="4"/>
        <v>3.5925202020026505</v>
      </c>
      <c r="D100" s="21"/>
      <c r="E100" s="5"/>
      <c r="F100" s="5"/>
      <c r="G100" s="5"/>
      <c r="H100" s="5"/>
      <c r="I100" s="5"/>
      <c r="J100" s="5"/>
      <c r="K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25">
      <c r="A101" s="21">
        <v>0.78</v>
      </c>
      <c r="B101" s="21"/>
      <c r="C101" s="21">
        <f t="shared" si="4"/>
        <v>3.5911425595111441</v>
      </c>
      <c r="D101" s="21"/>
      <c r="E101" s="5"/>
      <c r="F101" s="5"/>
      <c r="G101" s="5"/>
      <c r="H101" s="5"/>
      <c r="I101" s="5"/>
      <c r="J101" s="5"/>
      <c r="K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25">
      <c r="A102" s="21">
        <v>0.79</v>
      </c>
      <c r="B102" s="21"/>
      <c r="C102" s="21">
        <f t="shared" si="4"/>
        <v>3.5899036718769124</v>
      </c>
      <c r="D102" s="21"/>
      <c r="E102" s="5"/>
      <c r="F102" s="5"/>
      <c r="G102" s="5"/>
      <c r="H102" s="5"/>
      <c r="I102" s="5"/>
      <c r="J102" s="5"/>
      <c r="K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25">
      <c r="A103" s="21">
        <v>0.8</v>
      </c>
      <c r="B103" s="21"/>
      <c r="C103" s="21">
        <f t="shared" si="4"/>
        <v>3.5887899022669232</v>
      </c>
      <c r="D103" s="21"/>
      <c r="E103" s="5"/>
      <c r="F103" s="5"/>
      <c r="G103" s="5"/>
      <c r="H103" s="5"/>
      <c r="I103" s="5"/>
      <c r="J103" s="5"/>
      <c r="K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5">
      <c r="A104" s="21">
        <v>0.81</v>
      </c>
      <c r="B104" s="21"/>
      <c r="C104" s="21">
        <f t="shared" si="4"/>
        <v>3.5877888889232845</v>
      </c>
      <c r="D104" s="21"/>
      <c r="E104" s="5"/>
      <c r="F104" s="5"/>
      <c r="G104" s="5"/>
      <c r="H104" s="5"/>
      <c r="I104" s="5"/>
      <c r="J104" s="5"/>
      <c r="K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5">
      <c r="A105" s="21">
        <v>0.82</v>
      </c>
      <c r="B105" s="21"/>
      <c r="C105" s="21">
        <f t="shared" si="4"/>
        <v>3.5868894385512013</v>
      </c>
      <c r="D105" s="21"/>
      <c r="E105" s="5"/>
      <c r="F105" s="5"/>
      <c r="G105" s="5"/>
      <c r="H105" s="5"/>
      <c r="I105" s="5"/>
      <c r="J105" s="5"/>
      <c r="K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5">
      <c r="A106" s="21">
        <v>0.83</v>
      </c>
      <c r="B106" s="21"/>
      <c r="C106" s="21">
        <f t="shared" si="4"/>
        <v>3.5860814261228917</v>
      </c>
      <c r="D106" s="21"/>
      <c r="E106" s="5"/>
      <c r="F106" s="5"/>
      <c r="G106" s="5"/>
      <c r="H106" s="5"/>
      <c r="I106" s="5"/>
      <c r="J106" s="5"/>
      <c r="K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x14ac:dyDescent="0.25">
      <c r="A107" s="21">
        <v>0.84</v>
      </c>
      <c r="B107" s="21"/>
      <c r="C107" s="21">
        <f t="shared" si="4"/>
        <v>3.5853557012461219</v>
      </c>
      <c r="D107" s="21"/>
      <c r="E107" s="5"/>
      <c r="F107" s="5"/>
      <c r="G107" s="5"/>
      <c r="H107" s="5"/>
      <c r="I107" s="5"/>
      <c r="J107" s="5"/>
      <c r="K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5">
      <c r="A108" s="21">
        <v>0.85</v>
      </c>
      <c r="B108" s="21"/>
      <c r="C108" s="21">
        <f t="shared" si="4"/>
        <v>3.5847040010956182</v>
      </c>
      <c r="D108" s="21"/>
      <c r="E108" s="5"/>
      <c r="F108" s="5"/>
      <c r="G108" s="5"/>
      <c r="H108" s="5"/>
      <c r="I108" s="5"/>
      <c r="J108" s="5"/>
      <c r="K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x14ac:dyDescent="0.25">
      <c r="A109" s="21">
        <v>0.86</v>
      </c>
      <c r="B109" s="21"/>
      <c r="C109" s="21">
        <f t="shared" si="4"/>
        <v>3.5841188697909301</v>
      </c>
      <c r="D109" s="21"/>
      <c r="E109" s="5"/>
      <c r="F109" s="5"/>
      <c r="G109" s="5"/>
      <c r="H109" s="5"/>
      <c r="I109" s="5"/>
      <c r="J109" s="5"/>
      <c r="K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5">
      <c r="A110" s="21">
        <v>0.87</v>
      </c>
      <c r="B110" s="21"/>
      <c r="C110" s="21">
        <f t="shared" si="4"/>
        <v>3.5835935840193649</v>
      </c>
      <c r="D110" s="21"/>
      <c r="E110" s="5"/>
      <c r="F110" s="5"/>
      <c r="G110" s="5"/>
      <c r="H110" s="5"/>
      <c r="I110" s="5"/>
      <c r="J110" s="5"/>
      <c r="K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5">
      <c r="A111" s="21">
        <v>0.88</v>
      </c>
      <c r="B111" s="21"/>
      <c r="C111" s="21">
        <f t="shared" si="4"/>
        <v>3.5831220846419449</v>
      </c>
      <c r="D111" s="21"/>
      <c r="E111" s="5"/>
      <c r="F111" s="5"/>
      <c r="G111" s="5"/>
      <c r="H111" s="5"/>
      <c r="I111" s="5"/>
      <c r="J111" s="5"/>
      <c r="K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x14ac:dyDescent="0.25">
      <c r="A112" s="21">
        <v>0.89</v>
      </c>
      <c r="B112" s="21"/>
      <c r="C112" s="21">
        <f t="shared" si="4"/>
        <v>3.5826989139793497</v>
      </c>
      <c r="D112" s="21"/>
      <c r="E112" s="5"/>
      <c r="F112" s="5"/>
      <c r="G112" s="5"/>
      <c r="H112" s="5"/>
      <c r="I112" s="5"/>
      <c r="J112" s="5"/>
      <c r="K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5">
      <c r="A113" s="21">
        <v>0.9</v>
      </c>
      <c r="B113" s="21"/>
      <c r="C113" s="21">
        <f t="shared" si="4"/>
        <v>3.5823191584494971</v>
      </c>
      <c r="D113" s="21"/>
      <c r="E113" s="5"/>
      <c r="F113" s="5"/>
      <c r="G113" s="5"/>
      <c r="H113" s="5"/>
      <c r="I113" s="5"/>
      <c r="J113" s="5"/>
      <c r="K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5">
      <c r="A114" s="21">
        <v>0.91</v>
      </c>
      <c r="B114" s="21"/>
      <c r="C114" s="21">
        <f t="shared" si="4"/>
        <v>3.5819783962154133</v>
      </c>
      <c r="D114" s="21"/>
      <c r="E114" s="5"/>
      <c r="F114" s="5"/>
      <c r="G114" s="5"/>
      <c r="H114" s="5"/>
      <c r="I114" s="5"/>
      <c r="J114" s="5"/>
      <c r="K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5">
      <c r="A115" s="21">
        <v>0.92</v>
      </c>
      <c r="B115" s="21"/>
      <c r="C115" s="21">
        <f t="shared" si="4"/>
        <v>3.581672649498568</v>
      </c>
      <c r="D115" s="21"/>
      <c r="E115" s="5"/>
      <c r="F115" s="5"/>
      <c r="G115" s="5"/>
      <c r="H115" s="5"/>
      <c r="I115" s="5"/>
      <c r="J115" s="5"/>
      <c r="K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5">
      <c r="A116" s="21">
        <v>0.93</v>
      </c>
      <c r="B116" s="21"/>
      <c r="C116" s="21">
        <f t="shared" si="4"/>
        <v>3.5813983412165697</v>
      </c>
      <c r="D116" s="21"/>
      <c r="E116" s="5"/>
      <c r="F116" s="5"/>
      <c r="G116" s="5"/>
      <c r="H116" s="5"/>
      <c r="I116" s="5"/>
      <c r="J116" s="5"/>
      <c r="K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x14ac:dyDescent="0.25">
      <c r="A117" s="21">
        <v>0.94</v>
      </c>
      <c r="B117" s="21"/>
      <c r="C117" s="21">
        <f t="shared" si="4"/>
        <v>3.5811522556131585</v>
      </c>
      <c r="D117" s="21"/>
      <c r="E117" s="5"/>
      <c r="F117" s="5"/>
      <c r="G117" s="5"/>
      <c r="H117" s="5"/>
      <c r="I117" s="5"/>
      <c r="J117" s="5"/>
      <c r="K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5">
      <c r="A118" s="21">
        <v>0.95</v>
      </c>
      <c r="B118" s="21"/>
      <c r="C118" s="21">
        <f t="shared" si="4"/>
        <v>3.5809315025612816</v>
      </c>
      <c r="D118" s="21"/>
      <c r="E118" s="5"/>
      <c r="F118" s="5"/>
      <c r="G118" s="5"/>
      <c r="H118" s="5"/>
      <c r="I118" s="5"/>
      <c r="J118" s="5"/>
      <c r="K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x14ac:dyDescent="0.25">
      <c r="A119" s="21">
        <v>0.96</v>
      </c>
      <c r="B119" s="21"/>
      <c r="C119" s="21">
        <f t="shared" si="4"/>
        <v>3.580733485235474</v>
      </c>
      <c r="D119" s="21"/>
      <c r="E119" s="5"/>
      <c r="F119" s="5"/>
      <c r="G119" s="5"/>
      <c r="H119" s="5"/>
      <c r="I119" s="5"/>
      <c r="J119" s="5"/>
      <c r="K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x14ac:dyDescent="0.25">
      <c r="A120" s="21">
        <v>0.97</v>
      </c>
      <c r="B120" s="21"/>
      <c r="C120" s="21">
        <f t="shared" si="4"/>
        <v>3.5805558708668306</v>
      </c>
      <c r="D120" s="21"/>
      <c r="E120" s="5"/>
      <c r="F120" s="5"/>
      <c r="G120" s="5"/>
      <c r="H120" s="5"/>
      <c r="I120" s="5"/>
      <c r="J120" s="5"/>
      <c r="K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5">
      <c r="A121" s="21">
        <v>0.98</v>
      </c>
      <c r="B121" s="21"/>
      <c r="C121" s="21">
        <f t="shared" si="4"/>
        <v>3.5803965643118181</v>
      </c>
      <c r="D121" s="21"/>
      <c r="E121" s="5"/>
      <c r="F121" s="5"/>
      <c r="G121" s="5"/>
      <c r="H121" s="5"/>
      <c r="I121" s="5"/>
      <c r="J121" s="5"/>
      <c r="K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5">
      <c r="A122" s="21">
        <v>0.99</v>
      </c>
      <c r="B122" s="21"/>
      <c r="C122" s="21">
        <f t="shared" si="4"/>
        <v>3.5802536841844592</v>
      </c>
      <c r="D122" s="21"/>
      <c r="E122" s="5"/>
      <c r="F122" s="5"/>
      <c r="G122" s="5"/>
      <c r="H122" s="5"/>
      <c r="I122" s="5"/>
      <c r="J122" s="5"/>
      <c r="K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x14ac:dyDescent="0.25">
      <c r="A123" s="21">
        <v>1</v>
      </c>
      <c r="B123" s="21"/>
      <c r="C123" s="21">
        <f t="shared" si="4"/>
        <v>3.5801255413195858</v>
      </c>
      <c r="D123" s="21"/>
    </row>
    <row r="124" spans="1:34" x14ac:dyDescent="0.25">
      <c r="A124" s="21">
        <v>1.01</v>
      </c>
      <c r="B124" s="21"/>
      <c r="C124" s="21">
        <f t="shared" si="4"/>
        <v>3.5800106193526142</v>
      </c>
      <c r="D124" s="21"/>
    </row>
    <row r="125" spans="1:34" x14ac:dyDescent="0.25">
      <c r="A125" s="21">
        <v>1.02</v>
      </c>
      <c r="B125" s="21"/>
      <c r="C125" s="21">
        <f t="shared" si="4"/>
        <v>3.5799075572183932</v>
      </c>
      <c r="D125" s="21"/>
    </row>
    <row r="126" spans="1:34" x14ac:dyDescent="0.25">
      <c r="A126" s="21">
        <v>1.03</v>
      </c>
      <c r="B126" s="21"/>
      <c r="C126" s="21">
        <f t="shared" si="4"/>
        <v>3.57981513338797</v>
      </c>
      <c r="D126" s="21"/>
    </row>
    <row r="127" spans="1:34" x14ac:dyDescent="0.25">
      <c r="A127" s="21">
        <v>1.04</v>
      </c>
      <c r="B127" s="21"/>
      <c r="C127" s="21">
        <f t="shared" si="4"/>
        <v>3.5797322516775218</v>
      </c>
      <c r="D127" s="21"/>
    </row>
    <row r="128" spans="1:34" x14ac:dyDescent="0.25">
      <c r="A128" s="21">
        <v>1.05</v>
      </c>
      <c r="B128" s="21"/>
      <c r="C128" s="21">
        <f t="shared" si="4"/>
        <v>3.579657928478142</v>
      </c>
      <c r="D128" s="21"/>
    </row>
    <row r="129" spans="1:4" x14ac:dyDescent="0.25">
      <c r="A129" s="21">
        <v>1.06</v>
      </c>
      <c r="B129" s="21"/>
      <c r="C129" s="21">
        <f t="shared" si="4"/>
        <v>3.5795912812686335</v>
      </c>
      <c r="D129" s="21"/>
    </row>
    <row r="130" spans="1:4" x14ac:dyDescent="0.25">
      <c r="A130" s="21">
        <v>1.07</v>
      </c>
      <c r="B130" s="21"/>
      <c r="C130" s="21">
        <f t="shared" si="4"/>
        <v>3.5795315182859619</v>
      </c>
      <c r="D130" s="21"/>
    </row>
    <row r="131" spans="1:4" x14ac:dyDescent="0.25">
      <c r="A131" s="21">
        <v>1.08</v>
      </c>
      <c r="B131" s="21"/>
      <c r="C131" s="21">
        <f t="shared" si="4"/>
        <v>3.5794779292395553</v>
      </c>
      <c r="D131" s="21"/>
    </row>
    <row r="132" spans="1:4" x14ac:dyDescent="0.25">
      <c r="A132" s="21">
        <v>1.0900000000000001</v>
      </c>
      <c r="B132" s="21"/>
      <c r="C132" s="21">
        <f t="shared" si="4"/>
        <v>3.5794298769662598</v>
      </c>
      <c r="D132" s="21"/>
    </row>
    <row r="133" spans="1:4" x14ac:dyDescent="0.25">
      <c r="A133" s="21">
        <v>1.1000000000000001</v>
      </c>
      <c r="B133" s="21"/>
      <c r="C133" s="21">
        <f t="shared" si="4"/>
        <v>3.5793867899325158</v>
      </c>
      <c r="D133" s="21"/>
    </row>
    <row r="134" spans="1:4" x14ac:dyDescent="0.25">
      <c r="A134" s="21">
        <v>1.1100000000000001</v>
      </c>
      <c r="B134" s="21"/>
      <c r="C134" s="21">
        <f t="shared" si="4"/>
        <v>3.5793481554992153</v>
      </c>
      <c r="D134" s="21"/>
    </row>
    <row r="135" spans="1:4" x14ac:dyDescent="0.25">
      <c r="A135" s="21">
        <v>1.1200000000000001</v>
      </c>
      <c r="B135" s="21"/>
      <c r="C135" s="21">
        <f t="shared" si="4"/>
        <v>3.5793135138728642</v>
      </c>
      <c r="D135" s="21"/>
    </row>
    <row r="136" spans="1:4" x14ac:dyDescent="0.25">
      <c r="A136" s="21">
        <v>1.1299999999999999</v>
      </c>
      <c r="B136" s="21"/>
      <c r="C136" s="21">
        <f t="shared" si="4"/>
        <v>3.5792824526740681</v>
      </c>
      <c r="D136" s="21"/>
    </row>
    <row r="137" spans="1:4" x14ac:dyDescent="0.25">
      <c r="A137" s="21">
        <v>1.1399999999999999</v>
      </c>
      <c r="B137" s="21"/>
      <c r="C137" s="21">
        <f t="shared" si="4"/>
        <v>3.5792546020611185</v>
      </c>
      <c r="D137" s="21"/>
    </row>
    <row r="138" spans="1:4" x14ac:dyDescent="0.25">
      <c r="A138" s="21">
        <v>1.1499999999999999</v>
      </c>
      <c r="B138" s="21"/>
      <c r="C138" s="21">
        <f t="shared" si="4"/>
        <v>3.5792296303525633</v>
      </c>
      <c r="D138" s="21"/>
    </row>
    <row r="139" spans="1:4" x14ac:dyDescent="0.25">
      <c r="A139" s="21">
        <v>1.1599999999999999</v>
      </c>
      <c r="B139" s="21"/>
      <c r="C139" s="21">
        <f t="shared" si="4"/>
        <v>3.5792072400982033</v>
      </c>
      <c r="D139" s="21"/>
    </row>
    <row r="140" spans="1:4" x14ac:dyDescent="0.25">
      <c r="A140" s="21">
        <v>1.17</v>
      </c>
      <c r="B140" s="21"/>
      <c r="C140" s="21">
        <f t="shared" si="4"/>
        <v>3.5791871645529807</v>
      </c>
      <c r="D140" s="21"/>
    </row>
    <row r="141" spans="1:4" x14ac:dyDescent="0.25">
      <c r="A141" s="21">
        <v>1.18</v>
      </c>
      <c r="B141" s="21"/>
      <c r="C141" s="21">
        <f t="shared" si="4"/>
        <v>3.579169164512765</v>
      </c>
      <c r="D141" s="21"/>
    </row>
    <row r="142" spans="1:4" x14ac:dyDescent="0.25">
      <c r="A142" s="21">
        <v>1.19</v>
      </c>
      <c r="B142" s="21"/>
      <c r="C142" s="21">
        <f t="shared" si="4"/>
        <v>3.5791530254751556</v>
      </c>
      <c r="D142" s="21"/>
    </row>
    <row r="143" spans="1:4" x14ac:dyDescent="0.25">
      <c r="A143" s="21">
        <v>1.2</v>
      </c>
      <c r="B143" s="21"/>
      <c r="C143" s="21">
        <f t="shared" si="4"/>
        <v>3.5791385550921242</v>
      </c>
      <c r="D143" s="21"/>
    </row>
    <row r="144" spans="1:4" x14ac:dyDescent="0.25">
      <c r="A144" s="21">
        <v>1.21</v>
      </c>
      <c r="B144" s="21"/>
      <c r="C144" s="21">
        <f t="shared" si="4"/>
        <v>3.579125580884666</v>
      </c>
      <c r="D144" s="21"/>
    </row>
    <row r="145" spans="1:4" x14ac:dyDescent="0.25">
      <c r="A145" s="21">
        <v>1.22</v>
      </c>
      <c r="B145" s="21"/>
      <c r="C145" s="21">
        <f t="shared" si="4"/>
        <v>3.5791139481926448</v>
      </c>
      <c r="D145" s="21"/>
    </row>
    <row r="146" spans="1:4" x14ac:dyDescent="0.25">
      <c r="A146" s="21">
        <v>1.23</v>
      </c>
      <c r="B146" s="21"/>
      <c r="C146" s="21">
        <f t="shared" si="4"/>
        <v>3.5791035183357378</v>
      </c>
      <c r="D146" s="21"/>
    </row>
    <row r="147" spans="1:4" x14ac:dyDescent="0.25">
      <c r="A147" s="21">
        <v>1.24</v>
      </c>
      <c r="B147" s="21"/>
      <c r="C147" s="21">
        <f t="shared" si="4"/>
        <v>3.579094166963829</v>
      </c>
      <c r="D147" s="21"/>
    </row>
    <row r="148" spans="1:4" x14ac:dyDescent="0.25">
      <c r="A148" s="21">
        <v>1.25</v>
      </c>
      <c r="B148" s="21"/>
      <c r="C148" s="21">
        <f t="shared" si="4"/>
        <v>3.5790857825774061</v>
      </c>
      <c r="D148" s="21"/>
    </row>
    <row r="149" spans="1:4" x14ac:dyDescent="0.25">
      <c r="A149" s="21">
        <v>1.26</v>
      </c>
      <c r="B149" s="21"/>
      <c r="C149" s="21">
        <f t="shared" si="4"/>
        <v>3.5790782652004975</v>
      </c>
      <c r="D149" s="21"/>
    </row>
    <row r="150" spans="1:4" x14ac:dyDescent="0.25">
      <c r="A150" s="21">
        <v>1.27</v>
      </c>
      <c r="B150" s="21"/>
      <c r="C150" s="21">
        <f t="shared" si="4"/>
        <v>3.5790715251904648</v>
      </c>
      <c r="D150" s="21"/>
    </row>
    <row r="151" spans="1:4" x14ac:dyDescent="0.25">
      <c r="A151" s="21">
        <v>1.28</v>
      </c>
      <c r="B151" s="21"/>
      <c r="C151" s="21">
        <f t="shared" si="4"/>
        <v>3.5790654821705816</v>
      </c>
      <c r="D151" s="21"/>
    </row>
    <row r="152" spans="1:4" x14ac:dyDescent="0.25">
      <c r="A152" s="21">
        <v>1.29</v>
      </c>
      <c r="B152" s="21"/>
      <c r="C152" s="21">
        <f t="shared" si="4"/>
        <v>3.5790600640727521</v>
      </c>
      <c r="D152" s="21"/>
    </row>
    <row r="153" spans="1:4" x14ac:dyDescent="0.25">
      <c r="A153" s="21">
        <v>1.3</v>
      </c>
      <c r="B153" s="21"/>
      <c r="C153" s="21">
        <f t="shared" si="4"/>
        <v>3.5790552062790324</v>
      </c>
      <c r="D153" s="21"/>
    </row>
    <row r="154" spans="1:4" x14ac:dyDescent="0.25">
      <c r="A154" s="21">
        <v>1.31</v>
      </c>
      <c r="B154" s="21"/>
      <c r="C154" s="21">
        <f t="shared" ref="C154:C217" si="5" xml:space="preserve"> LOG((10^$G$5 - 10^$G$4) * EXP(-$G$3 *A154 )  + 10^$G$4)</f>
        <v>3.5790508508517784</v>
      </c>
      <c r="D154" s="21"/>
    </row>
    <row r="155" spans="1:4" x14ac:dyDescent="0.25">
      <c r="A155" s="21">
        <v>1.32</v>
      </c>
      <c r="B155" s="21"/>
      <c r="C155" s="21">
        <f t="shared" si="5"/>
        <v>3.5790469458432805</v>
      </c>
      <c r="D155" s="21"/>
    </row>
    <row r="156" spans="1:4" x14ac:dyDescent="0.25">
      <c r="A156" s="21">
        <v>1.33</v>
      </c>
      <c r="B156" s="21"/>
      <c r="C156" s="21">
        <f t="shared" si="5"/>
        <v>3.5790434446766946</v>
      </c>
      <c r="D156" s="21"/>
    </row>
    <row r="157" spans="1:4" x14ac:dyDescent="0.25">
      <c r="A157" s="21">
        <v>1.34</v>
      </c>
      <c r="B157" s="21"/>
      <c r="C157" s="21">
        <f t="shared" si="5"/>
        <v>3.5790403055909126</v>
      </c>
      <c r="D157" s="21"/>
    </row>
    <row r="158" spans="1:4" x14ac:dyDescent="0.25">
      <c r="A158" s="21">
        <v>1.35</v>
      </c>
      <c r="B158" s="21"/>
      <c r="C158" s="21">
        <f t="shared" si="5"/>
        <v>3.5790374911427807</v>
      </c>
      <c r="D158" s="21"/>
    </row>
    <row r="159" spans="1:4" x14ac:dyDescent="0.25">
      <c r="A159" s="21">
        <v>1.36</v>
      </c>
      <c r="B159" s="21"/>
      <c r="C159" s="21">
        <f t="shared" si="5"/>
        <v>3.5790349677607449</v>
      </c>
      <c r="D159" s="21"/>
    </row>
    <row r="160" spans="1:4" x14ac:dyDescent="0.25">
      <c r="A160" s="21">
        <v>1.37</v>
      </c>
      <c r="B160" s="21"/>
      <c r="C160" s="21">
        <f t="shared" si="5"/>
        <v>3.5790327053446145</v>
      </c>
      <c r="D160" s="21"/>
    </row>
    <row r="161" spans="1:4" x14ac:dyDescent="0.25">
      <c r="A161" s="21">
        <v>1.38</v>
      </c>
      <c r="B161" s="21"/>
      <c r="C161" s="21">
        <f t="shared" si="5"/>
        <v>3.5790306769066857</v>
      </c>
      <c r="D161" s="21"/>
    </row>
    <row r="162" spans="1:4" x14ac:dyDescent="0.25">
      <c r="A162" s="21">
        <v>1.39</v>
      </c>
      <c r="B162" s="21"/>
      <c r="C162" s="21">
        <f t="shared" si="5"/>
        <v>3.5790288582499521</v>
      </c>
      <c r="D162" s="21"/>
    </row>
    <row r="163" spans="1:4" x14ac:dyDescent="0.25">
      <c r="A163" s="21">
        <v>1.4</v>
      </c>
      <c r="B163" s="21"/>
      <c r="C163" s="21">
        <f t="shared" si="5"/>
        <v>3.5790272276795752</v>
      </c>
      <c r="D163" s="21"/>
    </row>
    <row r="164" spans="1:4" x14ac:dyDescent="0.25">
      <c r="A164" s="21">
        <v>1.41</v>
      </c>
      <c r="B164" s="21"/>
      <c r="C164" s="21">
        <f t="shared" si="5"/>
        <v>3.5790257657441726</v>
      </c>
      <c r="D164" s="21"/>
    </row>
    <row r="165" spans="1:4" x14ac:dyDescent="0.25">
      <c r="A165" s="21">
        <v>1.42</v>
      </c>
      <c r="B165" s="21"/>
      <c r="C165" s="21">
        <f t="shared" si="5"/>
        <v>3.5790244550038555</v>
      </c>
      <c r="D165" s="21"/>
    </row>
    <row r="166" spans="1:4" x14ac:dyDescent="0.25">
      <c r="A166" s="21">
        <v>1.43</v>
      </c>
      <c r="B166" s="21"/>
      <c r="C166" s="21">
        <f t="shared" si="5"/>
        <v>3.5790232798222372</v>
      </c>
      <c r="D166" s="21"/>
    </row>
    <row r="167" spans="1:4" x14ac:dyDescent="0.25">
      <c r="A167" s="21">
        <v>1.44</v>
      </c>
      <c r="B167" s="21"/>
      <c r="C167" s="21">
        <f t="shared" si="5"/>
        <v>3.5790222261799487</v>
      </c>
      <c r="D167" s="21"/>
    </row>
    <row r="168" spans="1:4" x14ac:dyDescent="0.25">
      <c r="A168" s="21">
        <v>1.45</v>
      </c>
      <c r="B168" s="21"/>
      <c r="C168" s="21">
        <f t="shared" si="5"/>
        <v>3.5790212815074316</v>
      </c>
      <c r="D168" s="21"/>
    </row>
    <row r="169" spans="1:4" x14ac:dyDescent="0.25">
      <c r="A169" s="21">
        <v>1.46</v>
      </c>
      <c r="B169" s="21"/>
      <c r="C169" s="21">
        <f t="shared" si="5"/>
        <v>3.5790204345350181</v>
      </c>
      <c r="D169" s="21"/>
    </row>
    <row r="170" spans="1:4" x14ac:dyDescent="0.25">
      <c r="A170" s="21">
        <v>1.47</v>
      </c>
      <c r="B170" s="21"/>
      <c r="C170" s="21">
        <f t="shared" si="5"/>
        <v>3.5790196751585115</v>
      </c>
      <c r="D170" s="21"/>
    </row>
    <row r="171" spans="1:4" x14ac:dyDescent="0.25">
      <c r="A171" s="21">
        <v>1.48</v>
      </c>
      <c r="B171" s="21"/>
      <c r="C171" s="21">
        <f t="shared" si="5"/>
        <v>3.5790189943186634</v>
      </c>
      <c r="D171" s="21"/>
    </row>
    <row r="172" spans="1:4" x14ac:dyDescent="0.25">
      <c r="A172" s="21">
        <v>1.49</v>
      </c>
      <c r="B172" s="21"/>
      <c r="C172" s="21">
        <f t="shared" si="5"/>
        <v>3.5790183838931178</v>
      </c>
      <c r="D172" s="21"/>
    </row>
    <row r="173" spans="1:4" x14ac:dyDescent="0.25">
      <c r="A173" s="21">
        <v>1.5</v>
      </c>
      <c r="B173" s="21"/>
      <c r="C173" s="21">
        <f t="shared" si="5"/>
        <v>3.5790178365995198</v>
      </c>
      <c r="D173" s="21"/>
    </row>
    <row r="174" spans="1:4" x14ac:dyDescent="0.25">
      <c r="A174" s="21">
        <v>1.51</v>
      </c>
      <c r="B174" s="21"/>
      <c r="C174" s="21">
        <f t="shared" si="5"/>
        <v>3.5790173459086518</v>
      </c>
      <c r="D174" s="21"/>
    </row>
    <row r="175" spans="1:4" x14ac:dyDescent="0.25">
      <c r="A175" s="21">
        <v>1.52</v>
      </c>
      <c r="B175" s="21"/>
      <c r="C175" s="21">
        <f t="shared" si="5"/>
        <v>3.579016905966546</v>
      </c>
      <c r="D175" s="21"/>
    </row>
    <row r="176" spans="1:4" x14ac:dyDescent="0.25">
      <c r="A176" s="21">
        <v>1.53</v>
      </c>
      <c r="B176" s="21"/>
      <c r="C176" s="21">
        <f t="shared" si="5"/>
        <v>3.5790165115246522</v>
      </c>
      <c r="D176" s="21"/>
    </row>
    <row r="177" spans="1:4" x14ac:dyDescent="0.25">
      <c r="A177" s="21">
        <v>1.54</v>
      </c>
      <c r="B177" s="21"/>
      <c r="C177" s="21">
        <f t="shared" si="5"/>
        <v>3.5790161578772288</v>
      </c>
      <c r="D177" s="21"/>
    </row>
    <row r="178" spans="1:4" x14ac:dyDescent="0.25">
      <c r="A178" s="21">
        <v>1.55</v>
      </c>
      <c r="B178" s="21"/>
      <c r="C178" s="21">
        <f t="shared" si="5"/>
        <v>3.5790158408052068</v>
      </c>
      <c r="D178" s="21"/>
    </row>
    <row r="179" spans="1:4" x14ac:dyDescent="0.25">
      <c r="A179" s="21">
        <v>1.56</v>
      </c>
      <c r="B179" s="21"/>
      <c r="C179" s="21">
        <f t="shared" si="5"/>
        <v>3.5790155565258583</v>
      </c>
      <c r="D179" s="21"/>
    </row>
    <row r="180" spans="1:4" x14ac:dyDescent="0.25">
      <c r="A180" s="21">
        <v>1.57</v>
      </c>
      <c r="B180" s="21"/>
      <c r="C180" s="21">
        <f t="shared" si="5"/>
        <v>3.5790153016476709</v>
      </c>
      <c r="D180" s="21"/>
    </row>
    <row r="181" spans="1:4" x14ac:dyDescent="0.25">
      <c r="A181" s="21">
        <v>1.58</v>
      </c>
      <c r="B181" s="21"/>
      <c r="C181" s="21">
        <f t="shared" si="5"/>
        <v>3.5790150731298889</v>
      </c>
      <c r="D181" s="21"/>
    </row>
    <row r="182" spans="1:4" x14ac:dyDescent="0.25">
      <c r="A182" s="21">
        <v>1.59</v>
      </c>
      <c r="B182" s="21"/>
      <c r="C182" s="21">
        <f t="shared" si="5"/>
        <v>3.5790148682462375</v>
      </c>
      <c r="D182" s="21"/>
    </row>
    <row r="183" spans="1:4" x14ac:dyDescent="0.25">
      <c r="A183" s="21">
        <v>1.6</v>
      </c>
      <c r="B183" s="21"/>
      <c r="C183" s="21">
        <f t="shared" si="5"/>
        <v>3.5790146845523991</v>
      </c>
      <c r="D183" s="21"/>
    </row>
    <row r="184" spans="1:4" x14ac:dyDescent="0.25">
      <c r="A184" s="21">
        <v>1.61</v>
      </c>
      <c r="B184" s="21"/>
      <c r="C184" s="21">
        <f t="shared" si="5"/>
        <v>3.5790145198568544</v>
      </c>
      <c r="D184" s="21"/>
    </row>
    <row r="185" spans="1:4" x14ac:dyDescent="0.25">
      <c r="A185" s="21">
        <v>1.62</v>
      </c>
      <c r="B185" s="21"/>
      <c r="C185" s="21">
        <f t="shared" si="5"/>
        <v>3.5790143721947354</v>
      </c>
      <c r="D185" s="21"/>
    </row>
    <row r="186" spans="1:4" x14ac:dyDescent="0.25">
      <c r="A186" s="21">
        <v>1.63</v>
      </c>
      <c r="B186" s="21"/>
      <c r="C186" s="21">
        <f t="shared" si="5"/>
        <v>3.5790142398043869</v>
      </c>
      <c r="D186" s="21"/>
    </row>
    <row r="187" spans="1:4" x14ac:dyDescent="0.25">
      <c r="A187" s="21">
        <v>1.64</v>
      </c>
      <c r="B187" s="21"/>
      <c r="C187" s="21">
        <f t="shared" si="5"/>
        <v>3.5790141211063493</v>
      </c>
      <c r="D187" s="21"/>
    </row>
    <row r="188" spans="1:4" x14ac:dyDescent="0.25">
      <c r="A188" s="21">
        <v>1.65</v>
      </c>
      <c r="B188" s="21"/>
      <c r="C188" s="21">
        <f t="shared" si="5"/>
        <v>3.5790140146845149</v>
      </c>
      <c r="D188" s="21"/>
    </row>
    <row r="189" spans="1:4" x14ac:dyDescent="0.25">
      <c r="A189" s="21">
        <v>1.66</v>
      </c>
      <c r="B189" s="21"/>
      <c r="C189" s="21">
        <f t="shared" si="5"/>
        <v>3.5790139192692347</v>
      </c>
      <c r="D189" s="21"/>
    </row>
    <row r="190" spans="1:4" x14ac:dyDescent="0.25">
      <c r="A190" s="21">
        <v>1.67</v>
      </c>
      <c r="B190" s="21"/>
      <c r="C190" s="21">
        <f t="shared" si="5"/>
        <v>3.5790138337221706</v>
      </c>
      <c r="D190" s="21"/>
    </row>
    <row r="191" spans="1:4" x14ac:dyDescent="0.25">
      <c r="A191" s="21">
        <v>1.68</v>
      </c>
      <c r="B191" s="21"/>
      <c r="C191" s="21">
        <f t="shared" si="5"/>
        <v>3.5790137570227154</v>
      </c>
      <c r="D191" s="21"/>
    </row>
    <row r="192" spans="1:4" x14ac:dyDescent="0.25">
      <c r="A192" s="21">
        <v>1.69</v>
      </c>
      <c r="B192" s="21"/>
      <c r="C192" s="21">
        <f t="shared" si="5"/>
        <v>3.5790136882558166</v>
      </c>
      <c r="D192" s="21"/>
    </row>
    <row r="193" spans="1:4" x14ac:dyDescent="0.25">
      <c r="A193" s="21">
        <v>1.7</v>
      </c>
      <c r="B193" s="21"/>
      <c r="C193" s="21">
        <f t="shared" si="5"/>
        <v>3.5790136266010588</v>
      </c>
      <c r="D193" s="21"/>
    </row>
    <row r="194" spans="1:4" x14ac:dyDescent="0.25">
      <c r="A194" s="21">
        <v>1.71</v>
      </c>
      <c r="B194" s="21"/>
      <c r="C194" s="21">
        <f t="shared" si="5"/>
        <v>3.5790135713228781</v>
      </c>
      <c r="D194" s="21"/>
    </row>
    <row r="195" spans="1:4" x14ac:dyDescent="0.25">
      <c r="A195" s="21">
        <v>1.72</v>
      </c>
      <c r="B195" s="21"/>
      <c r="C195" s="21">
        <f t="shared" si="5"/>
        <v>3.5790135217617842</v>
      </c>
      <c r="D195" s="21"/>
    </row>
    <row r="196" spans="1:4" x14ac:dyDescent="0.25">
      <c r="A196" s="21">
        <v>1.73</v>
      </c>
      <c r="B196" s="21"/>
      <c r="C196" s="21">
        <f t="shared" si="5"/>
        <v>3.5790134773264946</v>
      </c>
      <c r="D196" s="21"/>
    </row>
    <row r="197" spans="1:4" x14ac:dyDescent="0.25">
      <c r="A197" s="21">
        <v>1.74</v>
      </c>
      <c r="B197" s="21"/>
      <c r="C197" s="21">
        <f t="shared" si="5"/>
        <v>3.5790134374868781</v>
      </c>
      <c r="D197" s="21"/>
    </row>
    <row r="198" spans="1:4" x14ac:dyDescent="0.25">
      <c r="A198" s="21">
        <v>1.75</v>
      </c>
      <c r="B198" s="21"/>
      <c r="C198" s="21">
        <f t="shared" si="5"/>
        <v>3.5790134017676327</v>
      </c>
      <c r="D198" s="21"/>
    </row>
    <row r="199" spans="1:4" x14ac:dyDescent="0.25">
      <c r="A199" s="21">
        <v>1.76</v>
      </c>
      <c r="B199" s="21"/>
      <c r="C199" s="21">
        <f t="shared" si="5"/>
        <v>3.5790133697426136</v>
      </c>
      <c r="D199" s="21"/>
    </row>
    <row r="200" spans="1:4" x14ac:dyDescent="0.25">
      <c r="A200" s="21">
        <v>1.77</v>
      </c>
      <c r="B200" s="21"/>
      <c r="C200" s="21">
        <f t="shared" si="5"/>
        <v>3.5790133410297491</v>
      </c>
      <c r="D200" s="21"/>
    </row>
    <row r="201" spans="1:4" x14ac:dyDescent="0.25">
      <c r="A201" s="21">
        <v>1.78</v>
      </c>
      <c r="B201" s="21"/>
      <c r="C201" s="21">
        <f t="shared" si="5"/>
        <v>3.5790133152864838</v>
      </c>
      <c r="D201" s="21"/>
    </row>
    <row r="202" spans="1:4" x14ac:dyDescent="0.25">
      <c r="A202" s="21">
        <v>1.79</v>
      </c>
      <c r="B202" s="21"/>
      <c r="C202" s="21">
        <f t="shared" si="5"/>
        <v>3.5790132922056896</v>
      </c>
      <c r="D202" s="21"/>
    </row>
    <row r="203" spans="1:4" x14ac:dyDescent="0.25">
      <c r="A203" s="21">
        <v>1.8</v>
      </c>
      <c r="B203" s="21"/>
      <c r="C203" s="21">
        <f t="shared" si="5"/>
        <v>3.5790132715120038</v>
      </c>
      <c r="D203" s="21"/>
    </row>
    <row r="204" spans="1:4" x14ac:dyDescent="0.25">
      <c r="A204" s="21">
        <v>1.81</v>
      </c>
      <c r="B204" s="21"/>
      <c r="C204" s="21">
        <f t="shared" si="5"/>
        <v>3.5790132529585414</v>
      </c>
      <c r="D204" s="21"/>
    </row>
    <row r="205" spans="1:4" x14ac:dyDescent="0.25">
      <c r="A205" s="21">
        <v>1.82</v>
      </c>
      <c r="B205" s="21"/>
      <c r="C205" s="21">
        <f t="shared" si="5"/>
        <v>3.5790132363239526</v>
      </c>
      <c r="D205" s="21"/>
    </row>
    <row r="206" spans="1:4" x14ac:dyDescent="0.25">
      <c r="A206" s="21">
        <v>1.83</v>
      </c>
      <c r="B206" s="21"/>
      <c r="C206" s="21">
        <f t="shared" si="5"/>
        <v>3.5790132214097796</v>
      </c>
      <c r="D206" s="21"/>
    </row>
    <row r="207" spans="1:4" x14ac:dyDescent="0.25">
      <c r="A207" s="21">
        <v>1.84</v>
      </c>
      <c r="B207" s="21"/>
      <c r="C207" s="21">
        <f t="shared" si="5"/>
        <v>3.5790132080380901</v>
      </c>
      <c r="D207" s="21"/>
    </row>
    <row r="208" spans="1:4" x14ac:dyDescent="0.25">
      <c r="A208" s="21">
        <v>1.85</v>
      </c>
      <c r="B208" s="21"/>
      <c r="C208" s="21">
        <f t="shared" si="5"/>
        <v>3.5790131960493548</v>
      </c>
      <c r="D208" s="21"/>
    </row>
    <row r="209" spans="1:4" x14ac:dyDescent="0.25">
      <c r="A209" s="21">
        <v>1.86</v>
      </c>
      <c r="B209" s="21"/>
      <c r="C209" s="21">
        <f t="shared" si="5"/>
        <v>3.5790131853005422</v>
      </c>
      <c r="D209" s="21"/>
    </row>
    <row r="210" spans="1:4" x14ac:dyDescent="0.25">
      <c r="A210" s="21">
        <v>1.87</v>
      </c>
      <c r="B210" s="21"/>
      <c r="C210" s="21">
        <f t="shared" si="5"/>
        <v>3.5790131756634156</v>
      </c>
      <c r="D210" s="21"/>
    </row>
    <row r="211" spans="1:4" x14ac:dyDescent="0.25">
      <c r="A211" s="21">
        <v>1.88</v>
      </c>
      <c r="B211" s="21"/>
      <c r="C211" s="21">
        <f t="shared" si="5"/>
        <v>3.5790131670229988</v>
      </c>
      <c r="D211" s="21"/>
    </row>
    <row r="212" spans="1:4" x14ac:dyDescent="0.25">
      <c r="A212" s="21">
        <v>1.89</v>
      </c>
      <c r="B212" s="21"/>
      <c r="C212" s="21">
        <f t="shared" si="5"/>
        <v>3.5790131592762089</v>
      </c>
      <c r="D212" s="21"/>
    </row>
    <row r="213" spans="1:4" x14ac:dyDescent="0.25">
      <c r="A213" s="21">
        <v>1.9</v>
      </c>
      <c r="B213" s="21"/>
      <c r="C213" s="21">
        <f t="shared" si="5"/>
        <v>3.5790131523306234</v>
      </c>
      <c r="D213" s="21"/>
    </row>
    <row r="214" spans="1:4" x14ac:dyDescent="0.25">
      <c r="A214" s="21">
        <v>1.91</v>
      </c>
      <c r="B214" s="21"/>
      <c r="C214" s="21">
        <f t="shared" si="5"/>
        <v>3.5790131461033781</v>
      </c>
      <c r="D214" s="21"/>
    </row>
    <row r="215" spans="1:4" x14ac:dyDescent="0.25">
      <c r="A215" s="21">
        <v>1.92</v>
      </c>
      <c r="B215" s="21"/>
      <c r="C215" s="21">
        <f t="shared" si="5"/>
        <v>3.5790131405201797</v>
      </c>
      <c r="D215" s="21"/>
    </row>
    <row r="216" spans="1:4" x14ac:dyDescent="0.25">
      <c r="A216" s="21">
        <v>1.93</v>
      </c>
      <c r="B216" s="21"/>
      <c r="C216" s="21">
        <f t="shared" si="5"/>
        <v>3.5790131355144186</v>
      </c>
      <c r="D216" s="21"/>
    </row>
    <row r="217" spans="1:4" x14ac:dyDescent="0.25">
      <c r="A217" s="21">
        <v>1.94</v>
      </c>
      <c r="B217" s="21"/>
      <c r="C217" s="21">
        <f t="shared" si="5"/>
        <v>3.5790131310263731</v>
      </c>
      <c r="D217" s="21"/>
    </row>
    <row r="218" spans="1:4" x14ac:dyDescent="0.25">
      <c r="A218" s="21">
        <v>1.95</v>
      </c>
      <c r="B218" s="21"/>
      <c r="C218" s="21">
        <f t="shared" ref="C218:C281" si="6" xml:space="preserve"> LOG((10^$G$5 - 10^$G$4) * EXP(-$G$3 *A218 )  + 10^$G$4)</f>
        <v>3.5790131270024994</v>
      </c>
      <c r="D218" s="21"/>
    </row>
    <row r="219" spans="1:4" x14ac:dyDescent="0.25">
      <c r="A219" s="21">
        <v>1.96</v>
      </c>
      <c r="B219" s="21"/>
      <c r="C219" s="21">
        <f t="shared" si="6"/>
        <v>3.5790131233947906</v>
      </c>
      <c r="D219" s="21"/>
    </row>
    <row r="220" spans="1:4" x14ac:dyDescent="0.25">
      <c r="A220" s="21">
        <v>1.97</v>
      </c>
      <c r="B220" s="21"/>
      <c r="C220" s="21">
        <f t="shared" si="6"/>
        <v>3.579013120160206</v>
      </c>
      <c r="D220" s="21"/>
    </row>
    <row r="221" spans="1:4" x14ac:dyDescent="0.25">
      <c r="A221" s="21">
        <v>1.98</v>
      </c>
      <c r="B221" s="21"/>
      <c r="C221" s="21">
        <f t="shared" si="6"/>
        <v>3.5790131172601551</v>
      </c>
      <c r="D221" s="21"/>
    </row>
    <row r="222" spans="1:4" x14ac:dyDescent="0.25">
      <c r="A222" s="21">
        <v>1.99</v>
      </c>
      <c r="B222" s="21"/>
      <c r="C222" s="21">
        <f t="shared" si="6"/>
        <v>3.5790131146600395</v>
      </c>
      <c r="D222" s="21"/>
    </row>
    <row r="223" spans="1:4" x14ac:dyDescent="0.25">
      <c r="A223" s="21">
        <v>2</v>
      </c>
      <c r="B223" s="21"/>
      <c r="C223" s="21">
        <f t="shared" si="6"/>
        <v>3.579013112328838</v>
      </c>
      <c r="D223" s="21"/>
    </row>
    <row r="224" spans="1:4" x14ac:dyDescent="0.25">
      <c r="A224" s="21">
        <v>2.0099999999999998</v>
      </c>
      <c r="B224" s="21"/>
      <c r="C224" s="21">
        <f t="shared" si="6"/>
        <v>3.5790131102387388</v>
      </c>
      <c r="D224" s="21"/>
    </row>
    <row r="225" spans="1:4" x14ac:dyDescent="0.25">
      <c r="A225" s="21">
        <v>2.02</v>
      </c>
      <c r="B225" s="21"/>
      <c r="C225" s="21">
        <f t="shared" si="6"/>
        <v>3.5790131083648062</v>
      </c>
      <c r="D225" s="21"/>
    </row>
    <row r="226" spans="1:4" x14ac:dyDescent="0.25">
      <c r="A226" s="21">
        <v>2.0299999999999998</v>
      </c>
      <c r="B226" s="21"/>
      <c r="C226" s="21">
        <f t="shared" si="6"/>
        <v>3.5790131066846831</v>
      </c>
      <c r="D226" s="21"/>
    </row>
    <row r="227" spans="1:4" x14ac:dyDescent="0.25">
      <c r="A227" s="21">
        <v>2.04</v>
      </c>
      <c r="B227" s="21"/>
      <c r="C227" s="21">
        <f t="shared" si="6"/>
        <v>3.5790131051783254</v>
      </c>
      <c r="D227" s="21"/>
    </row>
    <row r="228" spans="1:4" x14ac:dyDescent="0.25">
      <c r="A228" s="21">
        <v>2.0499999999999998</v>
      </c>
      <c r="B228" s="21"/>
      <c r="C228" s="21">
        <f t="shared" si="6"/>
        <v>3.5790131038277608</v>
      </c>
      <c r="D228" s="21"/>
    </row>
    <row r="229" spans="1:4" x14ac:dyDescent="0.25">
      <c r="A229" s="21">
        <v>2.06</v>
      </c>
      <c r="B229" s="21"/>
      <c r="C229" s="21">
        <f t="shared" si="6"/>
        <v>3.5790131026168774</v>
      </c>
      <c r="D229" s="21"/>
    </row>
    <row r="230" spans="1:4" x14ac:dyDescent="0.25">
      <c r="A230" s="21">
        <v>2.0699999999999998</v>
      </c>
      <c r="B230" s="21"/>
      <c r="C230" s="21">
        <f t="shared" si="6"/>
        <v>3.5790131015312285</v>
      </c>
      <c r="D230" s="21"/>
    </row>
    <row r="231" spans="1:4" x14ac:dyDescent="0.25">
      <c r="A231" s="21">
        <v>2.08</v>
      </c>
      <c r="B231" s="21"/>
      <c r="C231" s="21">
        <f t="shared" si="6"/>
        <v>3.5790131005578618</v>
      </c>
      <c r="D231" s="21"/>
    </row>
    <row r="232" spans="1:4" x14ac:dyDescent="0.25">
      <c r="A232" s="21">
        <v>2.09</v>
      </c>
      <c r="B232" s="21"/>
      <c r="C232" s="21">
        <f t="shared" si="6"/>
        <v>3.5790130996851643</v>
      </c>
      <c r="D232" s="21"/>
    </row>
    <row r="233" spans="1:4" x14ac:dyDescent="0.25">
      <c r="A233" s="21">
        <v>2.1</v>
      </c>
      <c r="B233" s="21"/>
      <c r="C233" s="21">
        <f t="shared" si="6"/>
        <v>3.5790130989027253</v>
      </c>
      <c r="D233" s="21"/>
    </row>
    <row r="234" spans="1:4" x14ac:dyDescent="0.25">
      <c r="A234" s="21">
        <v>2.11</v>
      </c>
      <c r="B234" s="21"/>
      <c r="C234" s="21">
        <f t="shared" si="6"/>
        <v>3.5790130982012087</v>
      </c>
      <c r="D234" s="21"/>
    </row>
    <row r="235" spans="1:4" x14ac:dyDescent="0.25">
      <c r="A235" s="21">
        <v>2.12</v>
      </c>
      <c r="B235" s="21"/>
      <c r="C235" s="21">
        <f t="shared" si="6"/>
        <v>3.5790130975722461</v>
      </c>
      <c r="D235" s="21"/>
    </row>
    <row r="236" spans="1:4" x14ac:dyDescent="0.25">
      <c r="A236" s="21">
        <v>2.13</v>
      </c>
      <c r="B236" s="21"/>
      <c r="C236" s="21">
        <f t="shared" si="6"/>
        <v>3.5790130970083331</v>
      </c>
      <c r="D236" s="21"/>
    </row>
    <row r="237" spans="1:4" x14ac:dyDescent="0.25">
      <c r="A237" s="21">
        <v>2.14</v>
      </c>
      <c r="B237" s="21"/>
      <c r="C237" s="21">
        <f t="shared" si="6"/>
        <v>3.5790130965027425</v>
      </c>
      <c r="D237" s="21"/>
    </row>
    <row r="238" spans="1:4" x14ac:dyDescent="0.25">
      <c r="A238" s="21">
        <v>2.15</v>
      </c>
      <c r="B238" s="21"/>
      <c r="C238" s="21">
        <f t="shared" si="6"/>
        <v>3.579013096049442</v>
      </c>
      <c r="D238" s="21"/>
    </row>
    <row r="239" spans="1:4" x14ac:dyDescent="0.25">
      <c r="A239" s="21">
        <v>2.16</v>
      </c>
      <c r="B239" s="21"/>
      <c r="C239" s="21">
        <f t="shared" si="6"/>
        <v>3.5790130956430239</v>
      </c>
      <c r="D239" s="21"/>
    </row>
    <row r="240" spans="1:4" x14ac:dyDescent="0.25">
      <c r="A240" s="21">
        <v>2.17</v>
      </c>
      <c r="B240" s="21"/>
      <c r="C240" s="21">
        <f t="shared" si="6"/>
        <v>3.579013095278639</v>
      </c>
      <c r="D240" s="21"/>
    </row>
    <row r="241" spans="1:4" x14ac:dyDescent="0.25">
      <c r="A241" s="21">
        <v>2.1800000000000002</v>
      </c>
      <c r="B241" s="21"/>
      <c r="C241" s="21">
        <f t="shared" si="6"/>
        <v>3.5790130949519403</v>
      </c>
      <c r="D241" s="21"/>
    </row>
    <row r="242" spans="1:4" x14ac:dyDescent="0.25">
      <c r="A242" s="21">
        <v>2.19</v>
      </c>
      <c r="B242" s="21"/>
      <c r="C242" s="21">
        <f t="shared" si="6"/>
        <v>3.5790130946590302</v>
      </c>
      <c r="D242" s="21"/>
    </row>
    <row r="243" spans="1:4" x14ac:dyDescent="0.25">
      <c r="A243" s="21">
        <v>2.2000000000000002</v>
      </c>
      <c r="B243" s="21"/>
      <c r="C243" s="21">
        <f t="shared" si="6"/>
        <v>3.579013094396414</v>
      </c>
      <c r="D243" s="21"/>
    </row>
    <row r="244" spans="1:4" x14ac:dyDescent="0.25">
      <c r="A244" s="21">
        <v>2.21</v>
      </c>
      <c r="B244" s="21"/>
      <c r="C244" s="21">
        <f t="shared" si="6"/>
        <v>3.5790130941609584</v>
      </c>
      <c r="D244" s="21"/>
    </row>
    <row r="245" spans="1:4" x14ac:dyDescent="0.25">
      <c r="A245" s="21">
        <v>2.2200000000000002</v>
      </c>
      <c r="B245" s="21"/>
      <c r="C245" s="21">
        <f t="shared" si="6"/>
        <v>3.5790130939498548</v>
      </c>
      <c r="D245" s="21"/>
    </row>
    <row r="246" spans="1:4" x14ac:dyDescent="0.25">
      <c r="A246" s="21">
        <v>2.23</v>
      </c>
      <c r="B246" s="21"/>
      <c r="C246" s="21">
        <f t="shared" si="6"/>
        <v>3.5790130937605844</v>
      </c>
      <c r="D246" s="21"/>
    </row>
    <row r="247" spans="1:4" x14ac:dyDescent="0.25">
      <c r="A247" s="21">
        <v>2.2400000000000002</v>
      </c>
      <c r="B247" s="21"/>
      <c r="C247" s="21">
        <f t="shared" si="6"/>
        <v>3.579013093590889</v>
      </c>
      <c r="D247" s="21"/>
    </row>
    <row r="248" spans="1:4" x14ac:dyDescent="0.25">
      <c r="A248" s="21">
        <v>2.25</v>
      </c>
      <c r="B248" s="21"/>
      <c r="C248" s="21">
        <f t="shared" si="6"/>
        <v>3.5790130934387441</v>
      </c>
      <c r="D248" s="21"/>
    </row>
    <row r="249" spans="1:4" x14ac:dyDescent="0.25">
      <c r="A249" s="21">
        <v>2.2599999999999998</v>
      </c>
      <c r="B249" s="21"/>
      <c r="C249" s="21">
        <f t="shared" si="6"/>
        <v>3.579013093302335</v>
      </c>
      <c r="D249" s="21"/>
    </row>
    <row r="250" spans="1:4" x14ac:dyDescent="0.25">
      <c r="A250" s="21">
        <v>2.27</v>
      </c>
      <c r="B250" s="21"/>
      <c r="C250" s="21">
        <f t="shared" si="6"/>
        <v>3.5790130931800337</v>
      </c>
      <c r="D250" s="21"/>
    </row>
    <row r="251" spans="1:4" x14ac:dyDescent="0.25">
      <c r="A251" s="21">
        <v>2.2799999999999998</v>
      </c>
      <c r="B251" s="21"/>
      <c r="C251" s="21">
        <f t="shared" si="6"/>
        <v>3.579013093070381</v>
      </c>
      <c r="D251" s="21"/>
    </row>
    <row r="252" spans="1:4" x14ac:dyDescent="0.25">
      <c r="A252" s="21">
        <v>2.29</v>
      </c>
      <c r="B252" s="21"/>
      <c r="C252" s="21">
        <f t="shared" si="6"/>
        <v>3.5790130929720694</v>
      </c>
      <c r="D252" s="21"/>
    </row>
    <row r="253" spans="1:4" x14ac:dyDescent="0.25">
      <c r="A253" s="21">
        <v>2.2999999999999998</v>
      </c>
      <c r="B253" s="21"/>
      <c r="C253" s="21">
        <f t="shared" si="6"/>
        <v>3.5790130928839252</v>
      </c>
      <c r="D253" s="21"/>
    </row>
    <row r="254" spans="1:4" x14ac:dyDescent="0.25">
      <c r="A254" s="21">
        <v>2.31</v>
      </c>
      <c r="B254" s="21"/>
      <c r="C254" s="21">
        <f t="shared" si="6"/>
        <v>3.5790130928048978</v>
      </c>
      <c r="D254" s="21"/>
    </row>
    <row r="255" spans="1:4" x14ac:dyDescent="0.25">
      <c r="A255" s="21">
        <v>2.3199999999999998</v>
      </c>
      <c r="B255" s="21"/>
      <c r="C255" s="21">
        <f t="shared" si="6"/>
        <v>3.5790130927340433</v>
      </c>
      <c r="D255" s="21"/>
    </row>
    <row r="256" spans="1:4" x14ac:dyDescent="0.25">
      <c r="A256" s="21">
        <v>2.33</v>
      </c>
      <c r="B256" s="21"/>
      <c r="C256" s="21">
        <f t="shared" si="6"/>
        <v>3.5790130926705168</v>
      </c>
      <c r="D256" s="21"/>
    </row>
    <row r="257" spans="1:4" x14ac:dyDescent="0.25">
      <c r="A257" s="21">
        <v>2.34</v>
      </c>
      <c r="B257" s="21"/>
      <c r="C257" s="21">
        <f t="shared" si="6"/>
        <v>3.5790130926135606</v>
      </c>
      <c r="D257" s="21"/>
    </row>
    <row r="258" spans="1:4" x14ac:dyDescent="0.25">
      <c r="A258" s="21">
        <v>2.35</v>
      </c>
      <c r="B258" s="21"/>
      <c r="C258" s="21">
        <f t="shared" si="6"/>
        <v>3.5790130925624952</v>
      </c>
      <c r="D258" s="21"/>
    </row>
    <row r="259" spans="1:4" x14ac:dyDescent="0.25">
      <c r="A259" s="21">
        <v>2.36</v>
      </c>
      <c r="B259" s="21"/>
      <c r="C259" s="21">
        <f t="shared" si="6"/>
        <v>3.579013092516711</v>
      </c>
      <c r="D259" s="21"/>
    </row>
    <row r="260" spans="1:4" x14ac:dyDescent="0.25">
      <c r="A260" s="21">
        <v>2.37</v>
      </c>
      <c r="B260" s="21"/>
      <c r="C260" s="21">
        <f t="shared" si="6"/>
        <v>3.579013092475662</v>
      </c>
      <c r="D260" s="21"/>
    </row>
    <row r="261" spans="1:4" x14ac:dyDescent="0.25">
      <c r="A261" s="21">
        <v>2.38</v>
      </c>
      <c r="B261" s="21"/>
      <c r="C261" s="21">
        <f t="shared" si="6"/>
        <v>3.5790130924388586</v>
      </c>
      <c r="D261" s="21"/>
    </row>
    <row r="262" spans="1:4" x14ac:dyDescent="0.25">
      <c r="A262" s="21">
        <v>2.39</v>
      </c>
      <c r="B262" s="21"/>
      <c r="C262" s="21">
        <f t="shared" si="6"/>
        <v>3.5790130924058614</v>
      </c>
      <c r="D262" s="21"/>
    </row>
    <row r="263" spans="1:4" x14ac:dyDescent="0.25">
      <c r="A263" s="21">
        <v>2.4</v>
      </c>
      <c r="B263" s="21"/>
      <c r="C263" s="21">
        <f t="shared" si="6"/>
        <v>3.5790130923762771</v>
      </c>
      <c r="D263" s="21"/>
    </row>
    <row r="264" spans="1:4" x14ac:dyDescent="0.25">
      <c r="A264" s="21">
        <v>2.41</v>
      </c>
      <c r="B264" s="21"/>
      <c r="C264" s="21">
        <f t="shared" si="6"/>
        <v>3.5790130923497525</v>
      </c>
      <c r="D264" s="21"/>
    </row>
    <row r="265" spans="1:4" x14ac:dyDescent="0.25">
      <c r="A265" s="21">
        <v>2.42</v>
      </c>
      <c r="B265" s="21"/>
      <c r="C265" s="21">
        <f t="shared" si="6"/>
        <v>3.5790130923259711</v>
      </c>
      <c r="D265" s="21"/>
    </row>
    <row r="266" spans="1:4" x14ac:dyDescent="0.25">
      <c r="A266" s="21">
        <v>2.4300000000000002</v>
      </c>
      <c r="B266" s="21"/>
      <c r="C266" s="21">
        <f t="shared" si="6"/>
        <v>3.579013092304649</v>
      </c>
      <c r="D266" s="21"/>
    </row>
    <row r="267" spans="1:4" x14ac:dyDescent="0.25">
      <c r="A267" s="21">
        <v>2.44</v>
      </c>
      <c r="B267" s="21"/>
      <c r="C267" s="21">
        <f t="shared" si="6"/>
        <v>3.5790130922855323</v>
      </c>
      <c r="D267" s="21"/>
    </row>
    <row r="268" spans="1:4" x14ac:dyDescent="0.25">
      <c r="A268" s="21">
        <v>2.4500000000000002</v>
      </c>
      <c r="B268" s="21"/>
      <c r="C268" s="21">
        <f t="shared" si="6"/>
        <v>3.5790130922683931</v>
      </c>
      <c r="D268" s="21"/>
    </row>
    <row r="269" spans="1:4" x14ac:dyDescent="0.25">
      <c r="A269" s="21">
        <v>2.46</v>
      </c>
      <c r="B269" s="21"/>
      <c r="C269" s="21">
        <f t="shared" si="6"/>
        <v>3.5790130922530259</v>
      </c>
      <c r="D269" s="21"/>
    </row>
    <row r="270" spans="1:4" x14ac:dyDescent="0.25">
      <c r="A270" s="21">
        <v>2.4700000000000002</v>
      </c>
      <c r="B270" s="21"/>
      <c r="C270" s="21">
        <f t="shared" si="6"/>
        <v>3.5790130922392485</v>
      </c>
      <c r="D270" s="21"/>
    </row>
    <row r="271" spans="1:4" x14ac:dyDescent="0.25">
      <c r="A271" s="21">
        <v>2.48</v>
      </c>
      <c r="B271" s="21"/>
      <c r="C271" s="21">
        <f t="shared" si="6"/>
        <v>3.5790130922268957</v>
      </c>
      <c r="D271" s="21"/>
    </row>
    <row r="272" spans="1:4" x14ac:dyDescent="0.25">
      <c r="A272" s="21">
        <v>2.4900000000000002</v>
      </c>
      <c r="B272" s="21"/>
      <c r="C272" s="21">
        <f t="shared" si="6"/>
        <v>3.5790130922158205</v>
      </c>
      <c r="D272" s="21"/>
    </row>
    <row r="273" spans="1:4" x14ac:dyDescent="0.25">
      <c r="A273" s="21">
        <v>2.5</v>
      </c>
      <c r="B273" s="21"/>
      <c r="C273" s="21">
        <f t="shared" si="6"/>
        <v>3.5790130922058911</v>
      </c>
      <c r="D273" s="21"/>
    </row>
    <row r="274" spans="1:4" x14ac:dyDescent="0.25">
      <c r="A274" s="21">
        <v>2.5099999999999998</v>
      </c>
      <c r="B274" s="21"/>
      <c r="C274" s="21">
        <f t="shared" si="6"/>
        <v>3.5790130921969885</v>
      </c>
      <c r="D274" s="21"/>
    </row>
    <row r="275" spans="1:4" x14ac:dyDescent="0.25">
      <c r="A275" s="21">
        <v>2.52</v>
      </c>
      <c r="B275" s="21"/>
      <c r="C275" s="21">
        <f t="shared" si="6"/>
        <v>3.5790130921890064</v>
      </c>
      <c r="D275" s="21"/>
    </row>
    <row r="276" spans="1:4" x14ac:dyDescent="0.25">
      <c r="A276" s="21">
        <v>2.5299999999999998</v>
      </c>
      <c r="B276" s="21"/>
      <c r="C276" s="21">
        <f t="shared" si="6"/>
        <v>3.5790130921818499</v>
      </c>
      <c r="D276" s="21"/>
    </row>
    <row r="277" spans="1:4" x14ac:dyDescent="0.25">
      <c r="A277" s="21">
        <v>2.54</v>
      </c>
      <c r="B277" s="21"/>
      <c r="C277" s="21">
        <f t="shared" si="6"/>
        <v>3.5790130921754337</v>
      </c>
      <c r="D277" s="21"/>
    </row>
    <row r="278" spans="1:4" x14ac:dyDescent="0.25">
      <c r="A278" s="21">
        <v>2.5499999999999998</v>
      </c>
      <c r="B278" s="21"/>
      <c r="C278" s="21">
        <f t="shared" si="6"/>
        <v>3.579013092169681</v>
      </c>
      <c r="D278" s="21"/>
    </row>
    <row r="279" spans="1:4" x14ac:dyDescent="0.25">
      <c r="A279" s="21">
        <v>2.56</v>
      </c>
      <c r="B279" s="21"/>
      <c r="C279" s="21">
        <f t="shared" si="6"/>
        <v>3.5790130921645233</v>
      </c>
      <c r="D279" s="21"/>
    </row>
    <row r="280" spans="1:4" x14ac:dyDescent="0.25">
      <c r="A280" s="21">
        <v>2.57</v>
      </c>
      <c r="B280" s="21"/>
      <c r="C280" s="21">
        <f t="shared" si="6"/>
        <v>3.579013092159899</v>
      </c>
      <c r="D280" s="21"/>
    </row>
    <row r="281" spans="1:4" x14ac:dyDescent="0.25">
      <c r="A281" s="21">
        <v>2.58</v>
      </c>
      <c r="B281" s="21"/>
      <c r="C281" s="21">
        <f t="shared" si="6"/>
        <v>3.579013092155753</v>
      </c>
      <c r="D281" s="21"/>
    </row>
    <row r="282" spans="1:4" x14ac:dyDescent="0.25">
      <c r="A282" s="21">
        <v>2.59</v>
      </c>
      <c r="B282" s="21"/>
      <c r="C282" s="21">
        <f t="shared" ref="C282:C345" si="7" xml:space="preserve"> LOG((10^$G$5 - 10^$G$4) * EXP(-$G$3 *A282 )  + 10^$G$4)</f>
        <v>3.579013092152036</v>
      </c>
      <c r="D282" s="21"/>
    </row>
    <row r="283" spans="1:4" x14ac:dyDescent="0.25">
      <c r="A283" s="21">
        <v>2.6</v>
      </c>
      <c r="B283" s="21"/>
      <c r="C283" s="21">
        <f t="shared" si="7"/>
        <v>3.5790130921487031</v>
      </c>
      <c r="D283" s="21"/>
    </row>
    <row r="284" spans="1:4" x14ac:dyDescent="0.25">
      <c r="A284" s="21">
        <v>2.61</v>
      </c>
      <c r="B284" s="21"/>
      <c r="C284" s="21">
        <f t="shared" si="7"/>
        <v>3.5790130921457148</v>
      </c>
      <c r="D284" s="21"/>
    </row>
    <row r="285" spans="1:4" x14ac:dyDescent="0.25">
      <c r="A285" s="21">
        <v>2.62</v>
      </c>
      <c r="B285" s="21"/>
      <c r="C285" s="21">
        <f t="shared" si="7"/>
        <v>3.5790130921430361</v>
      </c>
      <c r="D285" s="21"/>
    </row>
    <row r="286" spans="1:4" x14ac:dyDescent="0.25">
      <c r="A286" s="21">
        <v>2.63</v>
      </c>
      <c r="B286" s="21"/>
      <c r="C286" s="21">
        <f t="shared" si="7"/>
        <v>3.579013092140634</v>
      </c>
      <c r="D286" s="21"/>
    </row>
    <row r="287" spans="1:4" x14ac:dyDescent="0.25">
      <c r="A287" s="21">
        <v>2.64</v>
      </c>
      <c r="B287" s="21"/>
      <c r="C287" s="21">
        <f t="shared" si="7"/>
        <v>3.5790130921384806</v>
      </c>
      <c r="D287" s="21"/>
    </row>
    <row r="288" spans="1:4" x14ac:dyDescent="0.25">
      <c r="A288" s="21">
        <v>2.65</v>
      </c>
      <c r="B288" s="21"/>
      <c r="C288" s="21">
        <f t="shared" si="7"/>
        <v>3.5790130921365497</v>
      </c>
      <c r="D288" s="21"/>
    </row>
    <row r="289" spans="1:4" x14ac:dyDescent="0.25">
      <c r="A289" s="21">
        <v>2.66</v>
      </c>
      <c r="B289" s="21"/>
      <c r="C289" s="21">
        <f t="shared" si="7"/>
        <v>3.5790130921348187</v>
      </c>
      <c r="D289" s="21"/>
    </row>
    <row r="290" spans="1:4" x14ac:dyDescent="0.25">
      <c r="A290" s="21">
        <v>2.67</v>
      </c>
      <c r="B290" s="21"/>
      <c r="C290" s="21">
        <f t="shared" si="7"/>
        <v>3.5790130921332666</v>
      </c>
      <c r="D290" s="21"/>
    </row>
    <row r="291" spans="1:4" x14ac:dyDescent="0.25">
      <c r="A291" s="21">
        <v>2.68</v>
      </c>
      <c r="B291" s="21"/>
      <c r="C291" s="21">
        <f t="shared" si="7"/>
        <v>3.5790130921318748</v>
      </c>
      <c r="D291" s="21"/>
    </row>
    <row r="292" spans="1:4" x14ac:dyDescent="0.25">
      <c r="A292" s="21">
        <v>2.69</v>
      </c>
      <c r="B292" s="21"/>
      <c r="C292" s="21">
        <f t="shared" si="7"/>
        <v>3.5790130921306273</v>
      </c>
      <c r="D292" s="21"/>
    </row>
    <row r="293" spans="1:4" x14ac:dyDescent="0.25">
      <c r="A293" s="21">
        <v>2.7</v>
      </c>
      <c r="B293" s="21"/>
      <c r="C293" s="21">
        <f t="shared" si="7"/>
        <v>3.5790130921295087</v>
      </c>
      <c r="D293" s="21"/>
    </row>
    <row r="294" spans="1:4" x14ac:dyDescent="0.25">
      <c r="A294" s="21">
        <v>2.71</v>
      </c>
      <c r="B294" s="21"/>
      <c r="C294" s="21">
        <f t="shared" si="7"/>
        <v>3.5790130921285059</v>
      </c>
      <c r="D294" s="21"/>
    </row>
    <row r="295" spans="1:4" x14ac:dyDescent="0.25">
      <c r="A295" s="21">
        <v>2.72</v>
      </c>
      <c r="B295" s="21"/>
      <c r="C295" s="21">
        <f t="shared" si="7"/>
        <v>3.5790130921276067</v>
      </c>
      <c r="D295" s="21"/>
    </row>
    <row r="296" spans="1:4" x14ac:dyDescent="0.25">
      <c r="A296" s="21">
        <v>2.73</v>
      </c>
      <c r="B296" s="21"/>
      <c r="C296" s="21">
        <f t="shared" si="7"/>
        <v>3.5790130921268002</v>
      </c>
      <c r="D296" s="21"/>
    </row>
    <row r="297" spans="1:4" x14ac:dyDescent="0.25">
      <c r="A297" s="21">
        <v>2.74</v>
      </c>
      <c r="B297" s="21"/>
      <c r="C297" s="21">
        <f t="shared" si="7"/>
        <v>3.5790130921260777</v>
      </c>
      <c r="D297" s="21"/>
    </row>
    <row r="298" spans="1:4" x14ac:dyDescent="0.25">
      <c r="A298" s="21">
        <v>2.75</v>
      </c>
      <c r="B298" s="21"/>
      <c r="C298" s="21">
        <f t="shared" si="7"/>
        <v>3.5790130921254297</v>
      </c>
      <c r="D298" s="21"/>
    </row>
    <row r="299" spans="1:4" x14ac:dyDescent="0.25">
      <c r="A299" s="21">
        <v>2.76</v>
      </c>
      <c r="B299" s="21"/>
      <c r="C299" s="21">
        <f t="shared" si="7"/>
        <v>3.5790130921248484</v>
      </c>
      <c r="D299" s="21"/>
    </row>
    <row r="300" spans="1:4" x14ac:dyDescent="0.25">
      <c r="A300" s="21">
        <v>2.77</v>
      </c>
      <c r="B300" s="21"/>
      <c r="C300" s="21">
        <f t="shared" si="7"/>
        <v>3.5790130921243275</v>
      </c>
      <c r="D300" s="21"/>
    </row>
    <row r="301" spans="1:4" x14ac:dyDescent="0.25">
      <c r="A301" s="21">
        <v>2.78</v>
      </c>
      <c r="B301" s="21"/>
      <c r="C301" s="21">
        <f t="shared" si="7"/>
        <v>3.5790130921238603</v>
      </c>
      <c r="D301" s="21"/>
    </row>
    <row r="302" spans="1:4" x14ac:dyDescent="0.25">
      <c r="A302" s="21">
        <v>2.79</v>
      </c>
      <c r="B302" s="21"/>
      <c r="C302" s="21">
        <f t="shared" si="7"/>
        <v>3.5790130921234415</v>
      </c>
      <c r="D302" s="21"/>
    </row>
    <row r="303" spans="1:4" x14ac:dyDescent="0.25">
      <c r="A303" s="21">
        <v>2.8</v>
      </c>
      <c r="B303" s="21"/>
      <c r="C303" s="21">
        <f t="shared" si="7"/>
        <v>3.5790130921230663</v>
      </c>
      <c r="D303" s="21"/>
    </row>
    <row r="304" spans="1:4" x14ac:dyDescent="0.25">
      <c r="A304" s="21">
        <v>2.81</v>
      </c>
      <c r="B304" s="21"/>
      <c r="C304" s="21">
        <f t="shared" si="7"/>
        <v>3.5790130921227297</v>
      </c>
      <c r="D304" s="21"/>
    </row>
    <row r="305" spans="1:4" x14ac:dyDescent="0.25">
      <c r="A305" s="21">
        <v>2.82</v>
      </c>
      <c r="B305" s="21"/>
      <c r="C305" s="21">
        <f t="shared" si="7"/>
        <v>3.5790130921224277</v>
      </c>
      <c r="D305" s="21"/>
    </row>
    <row r="306" spans="1:4" x14ac:dyDescent="0.25">
      <c r="A306" s="21">
        <v>2.83</v>
      </c>
      <c r="B306" s="21"/>
      <c r="C306" s="21">
        <f t="shared" si="7"/>
        <v>3.5790130921221572</v>
      </c>
      <c r="D306" s="21"/>
    </row>
    <row r="307" spans="1:4" x14ac:dyDescent="0.25">
      <c r="A307" s="21">
        <v>2.84</v>
      </c>
      <c r="B307" s="21"/>
      <c r="C307" s="21">
        <f t="shared" si="7"/>
        <v>3.5790130921219148</v>
      </c>
      <c r="D307" s="21"/>
    </row>
    <row r="308" spans="1:4" x14ac:dyDescent="0.25">
      <c r="A308" s="21">
        <v>2.85</v>
      </c>
      <c r="B308" s="21"/>
      <c r="C308" s="21">
        <f t="shared" si="7"/>
        <v>3.5790130921216972</v>
      </c>
      <c r="D308" s="21"/>
    </row>
    <row r="309" spans="1:4" x14ac:dyDescent="0.25">
      <c r="A309" s="21">
        <v>2.86</v>
      </c>
      <c r="B309" s="21"/>
      <c r="C309" s="21">
        <f t="shared" si="7"/>
        <v>3.5790130921215022</v>
      </c>
      <c r="D309" s="21"/>
    </row>
    <row r="310" spans="1:4" x14ac:dyDescent="0.25">
      <c r="A310" s="21">
        <v>2.87</v>
      </c>
      <c r="B310" s="21"/>
      <c r="C310" s="21">
        <f t="shared" si="7"/>
        <v>3.5790130921213272</v>
      </c>
      <c r="D310" s="21"/>
    </row>
    <row r="311" spans="1:4" x14ac:dyDescent="0.25">
      <c r="A311" s="21">
        <v>2.88</v>
      </c>
      <c r="B311" s="21"/>
      <c r="C311" s="21">
        <f t="shared" si="7"/>
        <v>3.5790130921211705</v>
      </c>
      <c r="D311" s="21"/>
    </row>
    <row r="312" spans="1:4" x14ac:dyDescent="0.25">
      <c r="A312" s="21">
        <v>2.89</v>
      </c>
      <c r="B312" s="21"/>
      <c r="C312" s="21">
        <f t="shared" si="7"/>
        <v>3.5790130921210301</v>
      </c>
      <c r="D312" s="21"/>
    </row>
    <row r="313" spans="1:4" x14ac:dyDescent="0.25">
      <c r="A313" s="21">
        <v>2.9</v>
      </c>
      <c r="B313" s="21"/>
      <c r="C313" s="21">
        <f t="shared" si="7"/>
        <v>3.579013092120904</v>
      </c>
      <c r="D313" s="21"/>
    </row>
    <row r="314" spans="1:4" x14ac:dyDescent="0.25">
      <c r="A314" s="21">
        <v>2.91</v>
      </c>
      <c r="B314" s="21"/>
      <c r="C314" s="21">
        <f t="shared" si="7"/>
        <v>3.5790130921207912</v>
      </c>
      <c r="D314" s="21"/>
    </row>
    <row r="315" spans="1:4" x14ac:dyDescent="0.25">
      <c r="A315" s="21">
        <v>2.92</v>
      </c>
      <c r="B315" s="21"/>
      <c r="C315" s="21">
        <f t="shared" si="7"/>
        <v>3.5790130921206895</v>
      </c>
      <c r="D315" s="21"/>
    </row>
    <row r="316" spans="1:4" x14ac:dyDescent="0.25">
      <c r="A316" s="21">
        <v>2.93</v>
      </c>
      <c r="B316" s="21"/>
      <c r="C316" s="21">
        <f t="shared" si="7"/>
        <v>3.5790130921205989</v>
      </c>
      <c r="D316" s="21"/>
    </row>
    <row r="317" spans="1:4" x14ac:dyDescent="0.25">
      <c r="A317" s="21">
        <v>2.94</v>
      </c>
      <c r="B317" s="21"/>
      <c r="C317" s="21">
        <f t="shared" si="7"/>
        <v>3.5790130921205177</v>
      </c>
      <c r="D317" s="21"/>
    </row>
    <row r="318" spans="1:4" x14ac:dyDescent="0.25">
      <c r="A318" s="21">
        <v>2.95</v>
      </c>
      <c r="B318" s="21"/>
      <c r="C318" s="21">
        <f t="shared" si="7"/>
        <v>3.5790130921204444</v>
      </c>
      <c r="D318" s="21"/>
    </row>
    <row r="319" spans="1:4" x14ac:dyDescent="0.25">
      <c r="A319" s="21">
        <v>2.96</v>
      </c>
      <c r="B319" s="21"/>
      <c r="C319" s="21">
        <f t="shared" si="7"/>
        <v>3.5790130921203791</v>
      </c>
      <c r="D319" s="21"/>
    </row>
    <row r="320" spans="1:4" x14ac:dyDescent="0.25">
      <c r="A320" s="21">
        <v>2.97</v>
      </c>
      <c r="B320" s="21"/>
      <c r="C320" s="21">
        <f t="shared" si="7"/>
        <v>3.5790130921203205</v>
      </c>
      <c r="D320" s="21"/>
    </row>
    <row r="321" spans="1:4" x14ac:dyDescent="0.25">
      <c r="A321" s="21">
        <v>2.98</v>
      </c>
      <c r="B321" s="21"/>
      <c r="C321" s="21">
        <f t="shared" si="7"/>
        <v>3.5790130921202676</v>
      </c>
      <c r="D321" s="21"/>
    </row>
    <row r="322" spans="1:4" x14ac:dyDescent="0.25">
      <c r="A322" s="21">
        <v>2.99</v>
      </c>
      <c r="B322" s="21"/>
      <c r="C322" s="21">
        <f t="shared" si="7"/>
        <v>3.5790130921202206</v>
      </c>
      <c r="D322" s="21"/>
    </row>
    <row r="323" spans="1:4" x14ac:dyDescent="0.25">
      <c r="A323" s="21">
        <v>3</v>
      </c>
      <c r="B323" s="21"/>
      <c r="C323" s="21">
        <f t="shared" si="7"/>
        <v>3.5790130921201784</v>
      </c>
      <c r="D323" s="21"/>
    </row>
    <row r="324" spans="1:4" x14ac:dyDescent="0.25">
      <c r="A324" s="21">
        <v>3.01</v>
      </c>
      <c r="B324" s="21"/>
      <c r="C324" s="21">
        <f t="shared" si="7"/>
        <v>3.5790130921201402</v>
      </c>
      <c r="D324" s="21"/>
    </row>
    <row r="325" spans="1:4" x14ac:dyDescent="0.25">
      <c r="A325" s="21">
        <v>3.02</v>
      </c>
      <c r="B325" s="21"/>
      <c r="C325" s="21">
        <f t="shared" si="7"/>
        <v>3.5790130921201064</v>
      </c>
      <c r="D325" s="21"/>
    </row>
    <row r="326" spans="1:4" x14ac:dyDescent="0.25">
      <c r="A326" s="21">
        <v>3.03</v>
      </c>
      <c r="B326" s="21"/>
      <c r="C326" s="21">
        <f t="shared" si="7"/>
        <v>3.5790130921200758</v>
      </c>
      <c r="D326" s="21"/>
    </row>
    <row r="327" spans="1:4" x14ac:dyDescent="0.25">
      <c r="A327" s="21">
        <v>3.04</v>
      </c>
      <c r="B327" s="21"/>
      <c r="C327" s="21">
        <f t="shared" si="7"/>
        <v>3.5790130921200487</v>
      </c>
      <c r="D327" s="21"/>
    </row>
    <row r="328" spans="1:4" x14ac:dyDescent="0.25">
      <c r="A328" s="21">
        <v>3.05</v>
      </c>
      <c r="B328" s="21"/>
      <c r="C328" s="21">
        <f t="shared" si="7"/>
        <v>3.5790130921200238</v>
      </c>
      <c r="D328" s="21"/>
    </row>
    <row r="329" spans="1:4" x14ac:dyDescent="0.25">
      <c r="A329" s="21">
        <v>3.06</v>
      </c>
      <c r="B329" s="21"/>
      <c r="C329" s="21">
        <f t="shared" si="7"/>
        <v>3.5790130921200021</v>
      </c>
      <c r="D329" s="21"/>
    </row>
    <row r="330" spans="1:4" x14ac:dyDescent="0.25">
      <c r="A330" s="21">
        <v>3.07</v>
      </c>
      <c r="B330" s="21"/>
      <c r="C330" s="21">
        <f t="shared" si="7"/>
        <v>3.5790130921199825</v>
      </c>
      <c r="D330" s="21"/>
    </row>
    <row r="331" spans="1:4" x14ac:dyDescent="0.25">
      <c r="A331" s="21">
        <v>3.08</v>
      </c>
      <c r="B331" s="21"/>
      <c r="C331" s="21">
        <f t="shared" si="7"/>
        <v>3.5790130921199648</v>
      </c>
      <c r="D331" s="21"/>
    </row>
    <row r="332" spans="1:4" x14ac:dyDescent="0.25">
      <c r="A332" s="21">
        <v>3.09</v>
      </c>
      <c r="B332" s="21"/>
      <c r="C332" s="21">
        <f t="shared" si="7"/>
        <v>3.5790130921199488</v>
      </c>
      <c r="D332" s="21"/>
    </row>
    <row r="333" spans="1:4" x14ac:dyDescent="0.25">
      <c r="A333" s="21">
        <v>3.1</v>
      </c>
      <c r="B333" s="21"/>
      <c r="C333" s="21">
        <f t="shared" si="7"/>
        <v>3.5790130921199346</v>
      </c>
      <c r="D333" s="21"/>
    </row>
    <row r="334" spans="1:4" x14ac:dyDescent="0.25">
      <c r="A334" s="21">
        <v>3.11</v>
      </c>
      <c r="B334" s="21"/>
      <c r="C334" s="21">
        <f t="shared" si="7"/>
        <v>3.5790130921199217</v>
      </c>
      <c r="D334" s="21"/>
    </row>
    <row r="335" spans="1:4" x14ac:dyDescent="0.25">
      <c r="A335" s="21">
        <v>3.12</v>
      </c>
      <c r="B335" s="21"/>
      <c r="C335" s="21">
        <f t="shared" si="7"/>
        <v>3.5790130921199106</v>
      </c>
      <c r="D335" s="21"/>
    </row>
    <row r="336" spans="1:4" x14ac:dyDescent="0.25">
      <c r="A336" s="21">
        <v>3.13</v>
      </c>
      <c r="B336" s="21"/>
      <c r="C336" s="21">
        <f t="shared" si="7"/>
        <v>3.5790130921199004</v>
      </c>
      <c r="D336" s="21"/>
    </row>
    <row r="337" spans="1:4" x14ac:dyDescent="0.25">
      <c r="A337" s="21">
        <v>3.14</v>
      </c>
      <c r="B337" s="21"/>
      <c r="C337" s="21">
        <f t="shared" si="7"/>
        <v>3.579013092119891</v>
      </c>
      <c r="D337" s="21"/>
    </row>
    <row r="338" spans="1:4" x14ac:dyDescent="0.25">
      <c r="A338" s="21">
        <v>3.15</v>
      </c>
      <c r="B338" s="21"/>
      <c r="C338" s="21">
        <f t="shared" si="7"/>
        <v>3.5790130921198831</v>
      </c>
      <c r="D338" s="21"/>
    </row>
    <row r="339" spans="1:4" x14ac:dyDescent="0.25">
      <c r="A339" s="21">
        <v>3.16</v>
      </c>
      <c r="B339" s="21"/>
      <c r="C339" s="21">
        <f t="shared" si="7"/>
        <v>3.5790130921198755</v>
      </c>
      <c r="D339" s="21"/>
    </row>
    <row r="340" spans="1:4" x14ac:dyDescent="0.25">
      <c r="A340" s="21">
        <v>3.17</v>
      </c>
      <c r="B340" s="21"/>
      <c r="C340" s="21">
        <f t="shared" si="7"/>
        <v>3.5790130921198688</v>
      </c>
      <c r="D340" s="21"/>
    </row>
    <row r="341" spans="1:4" x14ac:dyDescent="0.25">
      <c r="A341" s="21">
        <v>3.18</v>
      </c>
      <c r="B341" s="21"/>
      <c r="C341" s="21">
        <f t="shared" si="7"/>
        <v>3.5790130921198631</v>
      </c>
      <c r="D341" s="21"/>
    </row>
    <row r="342" spans="1:4" x14ac:dyDescent="0.25">
      <c r="A342" s="21">
        <v>3.19</v>
      </c>
      <c r="B342" s="21"/>
      <c r="C342" s="21">
        <f t="shared" si="7"/>
        <v>3.5790130921198577</v>
      </c>
      <c r="D342" s="21"/>
    </row>
    <row r="343" spans="1:4" x14ac:dyDescent="0.25">
      <c r="A343" s="21">
        <v>3.2</v>
      </c>
      <c r="B343" s="21"/>
      <c r="C343" s="21">
        <f t="shared" si="7"/>
        <v>3.5790130921198529</v>
      </c>
      <c r="D343" s="21"/>
    </row>
    <row r="344" spans="1:4" x14ac:dyDescent="0.25">
      <c r="A344" s="21">
        <v>3.21</v>
      </c>
      <c r="B344" s="21"/>
      <c r="C344" s="21">
        <f t="shared" si="7"/>
        <v>3.5790130921198484</v>
      </c>
      <c r="D344" s="21"/>
    </row>
    <row r="345" spans="1:4" x14ac:dyDescent="0.25">
      <c r="A345" s="21">
        <v>3.22</v>
      </c>
      <c r="B345" s="21"/>
      <c r="C345" s="21">
        <f t="shared" si="7"/>
        <v>3.5790130921198449</v>
      </c>
      <c r="D345" s="21"/>
    </row>
    <row r="346" spans="1:4" x14ac:dyDescent="0.25">
      <c r="A346" s="21">
        <v>3.23</v>
      </c>
      <c r="B346" s="21"/>
      <c r="C346" s="21">
        <f t="shared" ref="C346:C409" si="8" xml:space="preserve"> LOG((10^$G$5 - 10^$G$4) * EXP(-$G$3 *A346 )  + 10^$G$4)</f>
        <v>3.5790130921198413</v>
      </c>
      <c r="D346" s="21"/>
    </row>
    <row r="347" spans="1:4" x14ac:dyDescent="0.25">
      <c r="A347" s="21">
        <v>3.24</v>
      </c>
      <c r="B347" s="21"/>
      <c r="C347" s="21">
        <f t="shared" si="8"/>
        <v>3.5790130921198382</v>
      </c>
      <c r="D347" s="21"/>
    </row>
    <row r="348" spans="1:4" x14ac:dyDescent="0.25">
      <c r="A348" s="21">
        <v>3.25</v>
      </c>
      <c r="B348" s="21"/>
      <c r="C348" s="21">
        <f t="shared" si="8"/>
        <v>3.5790130921198355</v>
      </c>
      <c r="D348" s="21"/>
    </row>
    <row r="349" spans="1:4" x14ac:dyDescent="0.25">
      <c r="A349" s="21">
        <v>3.26</v>
      </c>
      <c r="B349" s="21"/>
      <c r="C349" s="21">
        <f t="shared" si="8"/>
        <v>3.5790130921198329</v>
      </c>
      <c r="D349" s="21"/>
    </row>
    <row r="350" spans="1:4" x14ac:dyDescent="0.25">
      <c r="A350" s="21">
        <v>3.27</v>
      </c>
      <c r="B350" s="21"/>
      <c r="C350" s="21">
        <f t="shared" si="8"/>
        <v>3.5790130921198307</v>
      </c>
      <c r="D350" s="21"/>
    </row>
    <row r="351" spans="1:4" x14ac:dyDescent="0.25">
      <c r="A351" s="21">
        <v>3.28</v>
      </c>
      <c r="B351" s="21"/>
      <c r="C351" s="21">
        <f t="shared" si="8"/>
        <v>3.5790130921198289</v>
      </c>
      <c r="D351" s="21"/>
    </row>
    <row r="352" spans="1:4" x14ac:dyDescent="0.25">
      <c r="A352" s="21">
        <v>3.29</v>
      </c>
      <c r="B352" s="21"/>
      <c r="C352" s="21">
        <f t="shared" si="8"/>
        <v>3.5790130921198271</v>
      </c>
      <c r="D352" s="21"/>
    </row>
    <row r="353" spans="1:4" x14ac:dyDescent="0.25">
      <c r="A353" s="21">
        <v>3.3</v>
      </c>
      <c r="B353" s="21"/>
      <c r="C353" s="21">
        <f t="shared" si="8"/>
        <v>3.5790130921198253</v>
      </c>
      <c r="D353" s="21"/>
    </row>
    <row r="354" spans="1:4" x14ac:dyDescent="0.25">
      <c r="A354" s="21">
        <v>3.31</v>
      </c>
      <c r="B354" s="21"/>
      <c r="C354" s="21">
        <f t="shared" si="8"/>
        <v>3.579013092119824</v>
      </c>
      <c r="D354" s="21"/>
    </row>
    <row r="355" spans="1:4" x14ac:dyDescent="0.25">
      <c r="A355" s="21">
        <v>3.32</v>
      </c>
      <c r="B355" s="21"/>
      <c r="C355" s="21">
        <f t="shared" si="8"/>
        <v>3.5790130921198227</v>
      </c>
      <c r="D355" s="21"/>
    </row>
    <row r="356" spans="1:4" x14ac:dyDescent="0.25">
      <c r="A356" s="21">
        <v>3.33</v>
      </c>
      <c r="B356" s="21"/>
      <c r="C356" s="21">
        <f t="shared" si="8"/>
        <v>3.5790130921198218</v>
      </c>
      <c r="D356" s="21"/>
    </row>
    <row r="357" spans="1:4" x14ac:dyDescent="0.25">
      <c r="A357" s="21">
        <v>3.34</v>
      </c>
      <c r="B357" s="21"/>
      <c r="C357" s="21">
        <f t="shared" si="8"/>
        <v>3.5790130921198204</v>
      </c>
      <c r="D357" s="21"/>
    </row>
    <row r="358" spans="1:4" x14ac:dyDescent="0.25">
      <c r="A358" s="21">
        <v>3.35</v>
      </c>
      <c r="B358" s="21"/>
      <c r="C358" s="21">
        <f t="shared" si="8"/>
        <v>3.5790130921198196</v>
      </c>
      <c r="D358" s="21"/>
    </row>
    <row r="359" spans="1:4" x14ac:dyDescent="0.25">
      <c r="A359" s="21">
        <v>3.36</v>
      </c>
      <c r="B359" s="21"/>
      <c r="C359" s="21">
        <f t="shared" si="8"/>
        <v>3.5790130921198187</v>
      </c>
      <c r="D359" s="21"/>
    </row>
    <row r="360" spans="1:4" x14ac:dyDescent="0.25">
      <c r="A360" s="21">
        <v>3.37</v>
      </c>
      <c r="B360" s="21"/>
      <c r="C360" s="21">
        <f t="shared" si="8"/>
        <v>3.5790130921198182</v>
      </c>
      <c r="D360" s="21"/>
    </row>
    <row r="361" spans="1:4" x14ac:dyDescent="0.25">
      <c r="A361" s="21">
        <v>3.38</v>
      </c>
      <c r="B361" s="21"/>
      <c r="C361" s="21">
        <f t="shared" si="8"/>
        <v>3.5790130921198173</v>
      </c>
      <c r="D361" s="21"/>
    </row>
    <row r="362" spans="1:4" x14ac:dyDescent="0.25">
      <c r="A362" s="21">
        <v>3.39</v>
      </c>
      <c r="B362" s="21"/>
      <c r="C362" s="21">
        <f t="shared" si="8"/>
        <v>3.5790130921198169</v>
      </c>
      <c r="D362" s="21"/>
    </row>
    <row r="363" spans="1:4" x14ac:dyDescent="0.25">
      <c r="A363" s="21">
        <v>3.4</v>
      </c>
      <c r="B363" s="21"/>
      <c r="C363" s="21">
        <f t="shared" si="8"/>
        <v>3.579013092119816</v>
      </c>
      <c r="D363" s="21"/>
    </row>
    <row r="364" spans="1:4" x14ac:dyDescent="0.25">
      <c r="A364" s="21">
        <v>3.41</v>
      </c>
      <c r="B364" s="21"/>
      <c r="C364" s="21">
        <f t="shared" si="8"/>
        <v>3.5790130921198156</v>
      </c>
      <c r="D364" s="21"/>
    </row>
    <row r="365" spans="1:4" x14ac:dyDescent="0.25">
      <c r="A365" s="21">
        <v>3.42</v>
      </c>
      <c r="B365" s="21"/>
      <c r="C365" s="21">
        <f t="shared" si="8"/>
        <v>3.5790130921198151</v>
      </c>
      <c r="D365" s="21"/>
    </row>
    <row r="366" spans="1:4" x14ac:dyDescent="0.25">
      <c r="A366" s="21">
        <v>3.43</v>
      </c>
      <c r="B366" s="21"/>
      <c r="C366" s="21">
        <f t="shared" si="8"/>
        <v>3.5790130921198151</v>
      </c>
      <c r="D366" s="21"/>
    </row>
    <row r="367" spans="1:4" x14ac:dyDescent="0.25">
      <c r="A367" s="21">
        <v>3.44</v>
      </c>
      <c r="B367" s="21"/>
      <c r="C367" s="21">
        <f t="shared" si="8"/>
        <v>3.5790130921198147</v>
      </c>
      <c r="D367" s="21"/>
    </row>
    <row r="368" spans="1:4" x14ac:dyDescent="0.25">
      <c r="A368" s="21">
        <v>3.45</v>
      </c>
      <c r="B368" s="21"/>
      <c r="C368" s="21">
        <f t="shared" si="8"/>
        <v>3.5790130921198142</v>
      </c>
      <c r="D368" s="21"/>
    </row>
    <row r="369" spans="1:4" x14ac:dyDescent="0.25">
      <c r="A369" s="21">
        <v>3.46</v>
      </c>
      <c r="B369" s="21"/>
      <c r="C369" s="21">
        <f t="shared" si="8"/>
        <v>3.5790130921198138</v>
      </c>
      <c r="D369" s="21"/>
    </row>
    <row r="370" spans="1:4" x14ac:dyDescent="0.25">
      <c r="A370" s="21">
        <v>3.47</v>
      </c>
      <c r="B370" s="21"/>
      <c r="C370" s="21">
        <f t="shared" si="8"/>
        <v>3.5790130921198138</v>
      </c>
      <c r="D370" s="21"/>
    </row>
    <row r="371" spans="1:4" x14ac:dyDescent="0.25">
      <c r="A371" s="21">
        <v>3.48</v>
      </c>
      <c r="B371" s="21"/>
      <c r="C371" s="21">
        <f t="shared" si="8"/>
        <v>3.5790130921198133</v>
      </c>
      <c r="D371" s="21"/>
    </row>
    <row r="372" spans="1:4" x14ac:dyDescent="0.25">
      <c r="A372" s="21">
        <v>3.49</v>
      </c>
      <c r="B372" s="21"/>
      <c r="C372" s="21">
        <f t="shared" si="8"/>
        <v>3.5790130921198133</v>
      </c>
      <c r="D372" s="21"/>
    </row>
    <row r="373" spans="1:4" x14ac:dyDescent="0.25">
      <c r="A373" s="21">
        <v>3.5</v>
      </c>
      <c r="B373" s="21"/>
      <c r="C373" s="21">
        <f t="shared" si="8"/>
        <v>3.5790130921198133</v>
      </c>
      <c r="D373" s="21"/>
    </row>
    <row r="374" spans="1:4" x14ac:dyDescent="0.25">
      <c r="A374" s="21">
        <v>3.51</v>
      </c>
      <c r="B374" s="21"/>
      <c r="C374" s="21">
        <f t="shared" si="8"/>
        <v>3.5790130921198129</v>
      </c>
      <c r="D374" s="21"/>
    </row>
    <row r="375" spans="1:4" x14ac:dyDescent="0.25">
      <c r="A375" s="21">
        <v>3.52</v>
      </c>
      <c r="B375" s="21"/>
      <c r="C375" s="21">
        <f t="shared" si="8"/>
        <v>3.5790130921198129</v>
      </c>
      <c r="D375" s="21"/>
    </row>
    <row r="376" spans="1:4" x14ac:dyDescent="0.25">
      <c r="A376" s="21">
        <v>3.53</v>
      </c>
      <c r="B376" s="21"/>
      <c r="C376" s="21">
        <f t="shared" si="8"/>
        <v>3.5790130921198129</v>
      </c>
      <c r="D376" s="21"/>
    </row>
    <row r="377" spans="1:4" x14ac:dyDescent="0.25">
      <c r="A377" s="21">
        <v>3.54</v>
      </c>
      <c r="B377" s="21"/>
      <c r="C377" s="21">
        <f t="shared" si="8"/>
        <v>3.5790130921198124</v>
      </c>
      <c r="D377" s="21"/>
    </row>
    <row r="378" spans="1:4" x14ac:dyDescent="0.25">
      <c r="A378" s="21">
        <v>3.55</v>
      </c>
      <c r="B378" s="21"/>
      <c r="C378" s="21">
        <f t="shared" si="8"/>
        <v>3.5790130921198124</v>
      </c>
      <c r="D378" s="21"/>
    </row>
    <row r="379" spans="1:4" x14ac:dyDescent="0.25">
      <c r="A379" s="21">
        <v>3.56</v>
      </c>
      <c r="B379" s="21"/>
      <c r="C379" s="21">
        <f t="shared" si="8"/>
        <v>3.5790130921198124</v>
      </c>
      <c r="D379" s="21"/>
    </row>
    <row r="380" spans="1:4" x14ac:dyDescent="0.25">
      <c r="A380" s="21">
        <v>3.57</v>
      </c>
      <c r="B380" s="21"/>
      <c r="C380" s="21">
        <f t="shared" si="8"/>
        <v>3.5790130921198124</v>
      </c>
      <c r="D380" s="21"/>
    </row>
    <row r="381" spans="1:4" x14ac:dyDescent="0.25">
      <c r="A381" s="21">
        <v>3.58</v>
      </c>
      <c r="B381" s="21"/>
      <c r="C381" s="21">
        <f t="shared" si="8"/>
        <v>3.5790130921198124</v>
      </c>
      <c r="D381" s="21"/>
    </row>
    <row r="382" spans="1:4" x14ac:dyDescent="0.25">
      <c r="A382" s="21">
        <v>3.59</v>
      </c>
      <c r="B382" s="21"/>
      <c r="C382" s="21">
        <f t="shared" si="8"/>
        <v>3.579013092119812</v>
      </c>
      <c r="D382" s="21"/>
    </row>
    <row r="383" spans="1:4" x14ac:dyDescent="0.25">
      <c r="A383" s="21">
        <v>3.6</v>
      </c>
      <c r="B383" s="21"/>
      <c r="C383" s="21">
        <f t="shared" si="8"/>
        <v>3.579013092119812</v>
      </c>
      <c r="D383" s="21"/>
    </row>
    <row r="384" spans="1:4" x14ac:dyDescent="0.25">
      <c r="A384" s="21">
        <v>3.61</v>
      </c>
      <c r="B384" s="21"/>
      <c r="C384" s="21">
        <f t="shared" si="8"/>
        <v>3.579013092119812</v>
      </c>
      <c r="D384" s="21"/>
    </row>
    <row r="385" spans="1:4" x14ac:dyDescent="0.25">
      <c r="A385" s="21">
        <v>3.62</v>
      </c>
      <c r="B385" s="21"/>
      <c r="C385" s="21">
        <f t="shared" si="8"/>
        <v>3.579013092119812</v>
      </c>
      <c r="D385" s="21"/>
    </row>
    <row r="386" spans="1:4" x14ac:dyDescent="0.25">
      <c r="A386" s="21">
        <v>3.63</v>
      </c>
      <c r="B386" s="21"/>
      <c r="C386" s="21">
        <f t="shared" si="8"/>
        <v>3.579013092119812</v>
      </c>
      <c r="D386" s="21"/>
    </row>
    <row r="387" spans="1:4" x14ac:dyDescent="0.25">
      <c r="A387" s="21">
        <v>3.64</v>
      </c>
      <c r="B387" s="21"/>
      <c r="C387" s="21">
        <f t="shared" si="8"/>
        <v>3.579013092119812</v>
      </c>
      <c r="D387" s="21"/>
    </row>
    <row r="388" spans="1:4" x14ac:dyDescent="0.25">
      <c r="A388" s="21">
        <v>3.65</v>
      </c>
      <c r="B388" s="21"/>
      <c r="C388" s="21">
        <f t="shared" si="8"/>
        <v>3.579013092119812</v>
      </c>
      <c r="D388" s="21"/>
    </row>
    <row r="389" spans="1:4" x14ac:dyDescent="0.25">
      <c r="A389" s="21">
        <v>3.66</v>
      </c>
      <c r="B389" s="21"/>
      <c r="C389" s="21">
        <f t="shared" si="8"/>
        <v>3.579013092119812</v>
      </c>
      <c r="D389" s="21"/>
    </row>
    <row r="390" spans="1:4" x14ac:dyDescent="0.25">
      <c r="A390" s="21">
        <v>3.67</v>
      </c>
      <c r="B390" s="21"/>
      <c r="C390" s="21">
        <f t="shared" si="8"/>
        <v>3.579013092119812</v>
      </c>
      <c r="D390" s="21"/>
    </row>
    <row r="391" spans="1:4" x14ac:dyDescent="0.25">
      <c r="A391" s="21">
        <v>3.68</v>
      </c>
      <c r="B391" s="21"/>
      <c r="C391" s="21">
        <f t="shared" si="8"/>
        <v>3.579013092119812</v>
      </c>
      <c r="D391" s="21"/>
    </row>
    <row r="392" spans="1:4" x14ac:dyDescent="0.25">
      <c r="A392" s="21">
        <v>3.69</v>
      </c>
      <c r="B392" s="21"/>
      <c r="C392" s="21">
        <f t="shared" si="8"/>
        <v>3.579013092119812</v>
      </c>
      <c r="D392" s="21"/>
    </row>
    <row r="393" spans="1:4" x14ac:dyDescent="0.25">
      <c r="A393" s="21">
        <v>3.7</v>
      </c>
      <c r="B393" s="21"/>
      <c r="C393" s="21">
        <f t="shared" si="8"/>
        <v>3.5790130921198116</v>
      </c>
      <c r="D393" s="21"/>
    </row>
    <row r="394" spans="1:4" x14ac:dyDescent="0.25">
      <c r="A394" s="21">
        <v>3.71</v>
      </c>
      <c r="B394" s="21"/>
      <c r="C394" s="21">
        <f t="shared" si="8"/>
        <v>3.5790130921198116</v>
      </c>
      <c r="D394" s="21"/>
    </row>
    <row r="395" spans="1:4" x14ac:dyDescent="0.25">
      <c r="A395" s="21">
        <v>3.72</v>
      </c>
      <c r="B395" s="21"/>
      <c r="C395" s="21">
        <f t="shared" si="8"/>
        <v>3.5790130921198116</v>
      </c>
      <c r="D395" s="21"/>
    </row>
    <row r="396" spans="1:4" x14ac:dyDescent="0.25">
      <c r="A396" s="21">
        <v>3.73</v>
      </c>
      <c r="B396" s="21"/>
      <c r="C396" s="21">
        <f t="shared" si="8"/>
        <v>3.5790130921198116</v>
      </c>
      <c r="D396" s="21"/>
    </row>
    <row r="397" spans="1:4" x14ac:dyDescent="0.25">
      <c r="A397" s="21">
        <v>3.74</v>
      </c>
      <c r="B397" s="21"/>
      <c r="C397" s="21">
        <f t="shared" si="8"/>
        <v>3.5790130921198116</v>
      </c>
      <c r="D397" s="21"/>
    </row>
    <row r="398" spans="1:4" x14ac:dyDescent="0.25">
      <c r="A398" s="21">
        <v>3.75</v>
      </c>
      <c r="B398" s="21"/>
      <c r="C398" s="21">
        <f t="shared" si="8"/>
        <v>3.5790130921198116</v>
      </c>
      <c r="D398" s="21"/>
    </row>
    <row r="399" spans="1:4" x14ac:dyDescent="0.25">
      <c r="A399" s="21">
        <v>3.76</v>
      </c>
      <c r="B399" s="21"/>
      <c r="C399" s="21">
        <f t="shared" si="8"/>
        <v>3.5790130921198116</v>
      </c>
      <c r="D399" s="21"/>
    </row>
    <row r="400" spans="1:4" x14ac:dyDescent="0.25">
      <c r="A400" s="21">
        <v>3.77</v>
      </c>
      <c r="B400" s="21"/>
      <c r="C400" s="21">
        <f t="shared" si="8"/>
        <v>3.5790130921198116</v>
      </c>
      <c r="D400" s="21"/>
    </row>
    <row r="401" spans="1:4" x14ac:dyDescent="0.25">
      <c r="A401" s="21">
        <v>3.78</v>
      </c>
      <c r="B401" s="21"/>
      <c r="C401" s="21">
        <f t="shared" si="8"/>
        <v>3.5790130921198116</v>
      </c>
      <c r="D401" s="21"/>
    </row>
    <row r="402" spans="1:4" x14ac:dyDescent="0.25">
      <c r="A402" s="21">
        <v>3.79</v>
      </c>
      <c r="B402" s="21"/>
      <c r="C402" s="21">
        <f t="shared" si="8"/>
        <v>3.5790130921198116</v>
      </c>
      <c r="D402" s="21"/>
    </row>
    <row r="403" spans="1:4" x14ac:dyDescent="0.25">
      <c r="A403" s="21">
        <v>3.8</v>
      </c>
      <c r="B403" s="21"/>
      <c r="C403" s="21">
        <f t="shared" si="8"/>
        <v>3.5790130921198116</v>
      </c>
      <c r="D403" s="21"/>
    </row>
    <row r="404" spans="1:4" x14ac:dyDescent="0.25">
      <c r="A404" s="21">
        <v>3.81</v>
      </c>
      <c r="B404" s="21"/>
      <c r="C404" s="21">
        <f t="shared" si="8"/>
        <v>3.5790130921198116</v>
      </c>
      <c r="D404" s="21"/>
    </row>
    <row r="405" spans="1:4" x14ac:dyDescent="0.25">
      <c r="A405" s="21">
        <v>3.82</v>
      </c>
      <c r="B405" s="21"/>
      <c r="C405" s="21">
        <f t="shared" si="8"/>
        <v>3.5790130921198116</v>
      </c>
      <c r="D405" s="21"/>
    </row>
    <row r="406" spans="1:4" x14ac:dyDescent="0.25">
      <c r="A406" s="21">
        <v>3.83</v>
      </c>
      <c r="B406" s="21"/>
      <c r="C406" s="21">
        <f t="shared" si="8"/>
        <v>3.5790130921198116</v>
      </c>
      <c r="D406" s="21"/>
    </row>
    <row r="407" spans="1:4" x14ac:dyDescent="0.25">
      <c r="A407" s="21">
        <v>3.84</v>
      </c>
      <c r="B407" s="21"/>
      <c r="C407" s="21">
        <f t="shared" si="8"/>
        <v>3.5790130921198116</v>
      </c>
      <c r="D407" s="21"/>
    </row>
    <row r="408" spans="1:4" x14ac:dyDescent="0.25">
      <c r="A408" s="21">
        <v>3.85</v>
      </c>
      <c r="B408" s="21"/>
      <c r="C408" s="21">
        <f t="shared" si="8"/>
        <v>3.5790130921198116</v>
      </c>
      <c r="D408" s="21"/>
    </row>
    <row r="409" spans="1:4" x14ac:dyDescent="0.25">
      <c r="A409" s="21">
        <v>3.86</v>
      </c>
      <c r="B409" s="21"/>
      <c r="C409" s="21">
        <f t="shared" si="8"/>
        <v>3.5790130921198116</v>
      </c>
      <c r="D409" s="21"/>
    </row>
    <row r="410" spans="1:4" x14ac:dyDescent="0.25">
      <c r="A410" s="21">
        <v>3.87</v>
      </c>
      <c r="B410" s="21"/>
      <c r="C410" s="21">
        <f t="shared" ref="C410:C423" si="9" xml:space="preserve"> LOG((10^$G$5 - 10^$G$4) * EXP(-$G$3 *A410 )  + 10^$G$4)</f>
        <v>3.5790130921198116</v>
      </c>
      <c r="D410" s="21"/>
    </row>
    <row r="411" spans="1:4" x14ac:dyDescent="0.25">
      <c r="A411" s="21">
        <v>3.88</v>
      </c>
      <c r="B411" s="21"/>
      <c r="C411" s="21">
        <f t="shared" si="9"/>
        <v>3.5790130921198116</v>
      </c>
      <c r="D411" s="21"/>
    </row>
    <row r="412" spans="1:4" x14ac:dyDescent="0.25">
      <c r="A412" s="21">
        <v>3.89</v>
      </c>
      <c r="B412" s="21"/>
      <c r="C412" s="21">
        <f t="shared" si="9"/>
        <v>3.5790130921198116</v>
      </c>
      <c r="D412" s="21"/>
    </row>
    <row r="413" spans="1:4" x14ac:dyDescent="0.25">
      <c r="A413" s="21">
        <v>3.9</v>
      </c>
      <c r="B413" s="21"/>
      <c r="C413" s="21">
        <f t="shared" si="9"/>
        <v>3.5790130921198116</v>
      </c>
      <c r="D413" s="21"/>
    </row>
    <row r="414" spans="1:4" x14ac:dyDescent="0.25">
      <c r="A414" s="21">
        <v>3.91</v>
      </c>
      <c r="B414" s="21"/>
      <c r="C414" s="21">
        <f t="shared" si="9"/>
        <v>3.5790130921198116</v>
      </c>
      <c r="D414" s="21"/>
    </row>
    <row r="415" spans="1:4" x14ac:dyDescent="0.25">
      <c r="A415" s="21">
        <v>3.92</v>
      </c>
      <c r="B415" s="21"/>
      <c r="C415" s="21">
        <f t="shared" si="9"/>
        <v>3.5790130921198116</v>
      </c>
      <c r="D415" s="21"/>
    </row>
    <row r="416" spans="1:4" x14ac:dyDescent="0.25">
      <c r="A416" s="21">
        <v>3.93</v>
      </c>
      <c r="B416" s="21"/>
      <c r="C416" s="21">
        <f t="shared" si="9"/>
        <v>3.5790130921198116</v>
      </c>
      <c r="D416" s="21"/>
    </row>
    <row r="417" spans="1:4" x14ac:dyDescent="0.25">
      <c r="A417" s="21">
        <v>3.94</v>
      </c>
      <c r="B417" s="21"/>
      <c r="C417" s="21">
        <f t="shared" si="9"/>
        <v>3.5790130921198116</v>
      </c>
      <c r="D417" s="21"/>
    </row>
    <row r="418" spans="1:4" x14ac:dyDescent="0.25">
      <c r="A418" s="21">
        <v>3.95</v>
      </c>
      <c r="B418" s="21"/>
      <c r="C418" s="21">
        <f t="shared" si="9"/>
        <v>3.5790130921198116</v>
      </c>
      <c r="D418" s="21"/>
    </row>
    <row r="419" spans="1:4" x14ac:dyDescent="0.25">
      <c r="A419" s="21">
        <v>3.96</v>
      </c>
      <c r="B419" s="21"/>
      <c r="C419" s="21">
        <f t="shared" si="9"/>
        <v>3.5790130921198116</v>
      </c>
      <c r="D419" s="21"/>
    </row>
    <row r="420" spans="1:4" x14ac:dyDescent="0.25">
      <c r="A420" s="21">
        <v>3.97</v>
      </c>
      <c r="B420" s="21"/>
      <c r="C420" s="21">
        <f t="shared" si="9"/>
        <v>3.5790130921198116</v>
      </c>
      <c r="D420" s="21"/>
    </row>
    <row r="421" spans="1:4" x14ac:dyDescent="0.25">
      <c r="A421" s="21">
        <v>3.98</v>
      </c>
      <c r="B421" s="21"/>
      <c r="C421" s="21">
        <f t="shared" si="9"/>
        <v>3.5790130921198116</v>
      </c>
      <c r="D421" s="21"/>
    </row>
    <row r="422" spans="1:4" x14ac:dyDescent="0.25">
      <c r="A422" s="21">
        <v>3.99</v>
      </c>
      <c r="B422" s="21"/>
      <c r="C422" s="21">
        <f t="shared" si="9"/>
        <v>3.5790130921198116</v>
      </c>
      <c r="D422" s="21"/>
    </row>
    <row r="423" spans="1:4" x14ac:dyDescent="0.25">
      <c r="A423" s="21">
        <v>4</v>
      </c>
      <c r="B423" s="21"/>
      <c r="C423" s="21">
        <f t="shared" si="9"/>
        <v>3.5790130921198116</v>
      </c>
      <c r="D423" s="21"/>
    </row>
    <row r="424" spans="1:4" x14ac:dyDescent="0.25">
      <c r="A424" s="21"/>
      <c r="B424" s="21"/>
      <c r="C424" s="21"/>
      <c r="D424" s="21"/>
    </row>
    <row r="425" spans="1:4" x14ac:dyDescent="0.25">
      <c r="A425" s="21"/>
      <c r="B425" s="21"/>
      <c r="C425" s="21"/>
      <c r="D425" s="21"/>
    </row>
    <row r="426" spans="1:4" x14ac:dyDescent="0.25">
      <c r="A426" s="21"/>
      <c r="B426" s="21"/>
      <c r="C426" s="21"/>
      <c r="D426" s="21"/>
    </row>
    <row r="427" spans="1:4" x14ac:dyDescent="0.25">
      <c r="A427" s="21"/>
      <c r="B427" s="21"/>
      <c r="C427" s="21"/>
      <c r="D427" s="21"/>
    </row>
    <row r="428" spans="1:4" x14ac:dyDescent="0.25">
      <c r="A428" s="21"/>
      <c r="B428" s="21"/>
      <c r="C428" s="21"/>
      <c r="D428" s="21"/>
    </row>
    <row r="429" spans="1:4" x14ac:dyDescent="0.25">
      <c r="A429" s="21"/>
      <c r="B429" s="21"/>
      <c r="C429" s="21"/>
      <c r="D429" s="21"/>
    </row>
    <row r="430" spans="1:4" x14ac:dyDescent="0.25">
      <c r="A430" s="21"/>
      <c r="B430" s="21"/>
      <c r="C430" s="21"/>
      <c r="D430" s="21"/>
    </row>
    <row r="431" spans="1:4" x14ac:dyDescent="0.25">
      <c r="A431" s="21"/>
      <c r="B431" s="21"/>
      <c r="C431" s="21"/>
      <c r="D431" s="21"/>
    </row>
    <row r="432" spans="1:4" x14ac:dyDescent="0.25">
      <c r="A432" s="21"/>
      <c r="B432" s="21"/>
      <c r="C432" s="21"/>
      <c r="D432" s="21"/>
    </row>
    <row r="433" spans="1:4" x14ac:dyDescent="0.25">
      <c r="A433" s="21"/>
      <c r="B433" s="21"/>
      <c r="C433" s="21"/>
      <c r="D433" s="21"/>
    </row>
    <row r="434" spans="1:4" x14ac:dyDescent="0.25">
      <c r="A434" s="21"/>
      <c r="B434" s="21"/>
      <c r="C434" s="21"/>
      <c r="D434" s="21"/>
    </row>
    <row r="435" spans="1:4" x14ac:dyDescent="0.25">
      <c r="A435" s="21"/>
      <c r="B435" s="21"/>
      <c r="C435" s="21"/>
      <c r="D435" s="21"/>
    </row>
    <row r="436" spans="1:4" x14ac:dyDescent="0.25">
      <c r="A436" s="21"/>
      <c r="B436" s="21"/>
      <c r="C436" s="21"/>
      <c r="D436" s="21"/>
    </row>
    <row r="437" spans="1:4" x14ac:dyDescent="0.25">
      <c r="A437" s="21"/>
      <c r="B437" s="21"/>
      <c r="C437" s="21"/>
      <c r="D437" s="21"/>
    </row>
    <row r="438" spans="1:4" x14ac:dyDescent="0.25">
      <c r="A438" s="21"/>
      <c r="B438" s="21"/>
      <c r="C438" s="21"/>
      <c r="D438" s="21"/>
    </row>
    <row r="439" spans="1:4" x14ac:dyDescent="0.25">
      <c r="A439" s="21"/>
      <c r="B439" s="21"/>
      <c r="C439" s="21"/>
      <c r="D439" s="21"/>
    </row>
    <row r="440" spans="1:4" x14ac:dyDescent="0.25">
      <c r="A440" s="21"/>
      <c r="B440" s="21"/>
      <c r="C440" s="21"/>
      <c r="D440" s="21"/>
    </row>
    <row r="441" spans="1:4" x14ac:dyDescent="0.25">
      <c r="A441" s="21"/>
      <c r="B441" s="21"/>
      <c r="C441" s="21"/>
      <c r="D441" s="21"/>
    </row>
    <row r="442" spans="1:4" x14ac:dyDescent="0.25">
      <c r="A442" s="21"/>
      <c r="B442" s="21"/>
      <c r="C442" s="21"/>
      <c r="D442" s="21"/>
    </row>
    <row r="443" spans="1:4" x14ac:dyDescent="0.25">
      <c r="A443" s="21"/>
      <c r="B443" s="21"/>
      <c r="C443" s="21"/>
      <c r="D443" s="21"/>
    </row>
    <row r="444" spans="1:4" x14ac:dyDescent="0.25">
      <c r="A444" s="21"/>
      <c r="B444" s="21"/>
      <c r="C444" s="21"/>
      <c r="D444" s="21"/>
    </row>
    <row r="445" spans="1:4" x14ac:dyDescent="0.25">
      <c r="A445" s="21"/>
      <c r="B445" s="21"/>
      <c r="C445" s="21"/>
      <c r="D445" s="21"/>
    </row>
    <row r="446" spans="1:4" x14ac:dyDescent="0.25">
      <c r="A446" s="21"/>
      <c r="B446" s="21"/>
      <c r="C446" s="21"/>
      <c r="D446" s="21"/>
    </row>
    <row r="447" spans="1:4" x14ac:dyDescent="0.25">
      <c r="A447" s="21"/>
      <c r="B447" s="21"/>
      <c r="C447" s="21"/>
      <c r="D447" s="21"/>
    </row>
    <row r="448" spans="1:4" x14ac:dyDescent="0.25">
      <c r="A448" s="21"/>
      <c r="B448" s="21"/>
      <c r="C448" s="21"/>
      <c r="D448" s="21"/>
    </row>
    <row r="449" spans="1:4" x14ac:dyDescent="0.25">
      <c r="A449" s="21"/>
      <c r="B449" s="21"/>
      <c r="C449" s="21"/>
      <c r="D449" s="21"/>
    </row>
    <row r="450" spans="1:4" x14ac:dyDescent="0.25">
      <c r="A450" s="21"/>
      <c r="B450" s="21"/>
      <c r="C450" s="21"/>
      <c r="D450" s="21"/>
    </row>
    <row r="451" spans="1:4" x14ac:dyDescent="0.25">
      <c r="A451" s="21"/>
      <c r="B451" s="21"/>
      <c r="C451" s="21"/>
      <c r="D451" s="21"/>
    </row>
    <row r="452" spans="1:4" x14ac:dyDescent="0.25">
      <c r="A452" s="21"/>
      <c r="B452" s="21"/>
      <c r="C452" s="21"/>
      <c r="D452" s="21"/>
    </row>
    <row r="453" spans="1:4" x14ac:dyDescent="0.25">
      <c r="A453" s="21"/>
      <c r="B453" s="21"/>
      <c r="C453" s="21"/>
      <c r="D453" s="21"/>
    </row>
    <row r="454" spans="1:4" x14ac:dyDescent="0.25">
      <c r="A454" s="21"/>
      <c r="B454" s="21"/>
      <c r="C454" s="21"/>
      <c r="D454" s="21"/>
    </row>
    <row r="455" spans="1:4" x14ac:dyDescent="0.25">
      <c r="A455" s="21"/>
      <c r="B455" s="21"/>
      <c r="C455" s="21"/>
      <c r="D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zoomScale="80" zoomScaleNormal="80" workbookViewId="0"/>
  </sheetViews>
  <sheetFormatPr defaultRowHeight="15" x14ac:dyDescent="0.25"/>
  <cols>
    <col min="1" max="1" width="9.140625" style="17"/>
    <col min="2" max="2" width="10.5703125" style="17" bestFit="1" customWidth="1"/>
    <col min="3" max="3" width="11.7109375" style="17" bestFit="1" customWidth="1"/>
    <col min="4" max="4" width="13.7109375" style="17" bestFit="1" customWidth="1"/>
    <col min="5" max="6" width="9.140625" style="17"/>
  </cols>
  <sheetData>
    <row r="1" spans="1:15" x14ac:dyDescent="0.25">
      <c r="A1" s="17" t="s">
        <v>2</v>
      </c>
      <c r="B1" s="17" t="s">
        <v>3</v>
      </c>
      <c r="C1" s="17" t="s">
        <v>38</v>
      </c>
      <c r="D1" s="17" t="s">
        <v>39</v>
      </c>
      <c r="E1" s="17" t="s">
        <v>0</v>
      </c>
      <c r="F1" s="17" t="s">
        <v>1</v>
      </c>
    </row>
    <row r="2" spans="1:15" x14ac:dyDescent="0.25">
      <c r="A2" s="17">
        <v>12662</v>
      </c>
      <c r="B2" s="17" t="s">
        <v>4</v>
      </c>
      <c r="C2" s="17" t="s">
        <v>42</v>
      </c>
      <c r="D2" s="17" t="s">
        <v>40</v>
      </c>
      <c r="E2" s="11">
        <v>0</v>
      </c>
      <c r="F2" s="21">
        <f>LOG10(7.3*10^5)</f>
        <v>5.8633228601204559</v>
      </c>
      <c r="I2" s="22"/>
      <c r="J2" s="22"/>
      <c r="O2" s="22"/>
    </row>
    <row r="3" spans="1:15" x14ac:dyDescent="0.25">
      <c r="A3" s="17">
        <v>12662</v>
      </c>
      <c r="B3" s="17" t="s">
        <v>4</v>
      </c>
      <c r="C3" s="17" t="s">
        <v>42</v>
      </c>
      <c r="D3" s="17" t="s">
        <v>40</v>
      </c>
      <c r="E3" s="11">
        <v>0.5</v>
      </c>
      <c r="F3" s="21">
        <f>LOG10(3*10^3)</f>
        <v>3.4771212547196626</v>
      </c>
      <c r="I3" s="22"/>
      <c r="J3" s="22"/>
      <c r="O3" s="22"/>
    </row>
    <row r="4" spans="1:15" x14ac:dyDescent="0.25">
      <c r="A4" s="17">
        <v>12662</v>
      </c>
      <c r="B4" s="17" t="s">
        <v>4</v>
      </c>
      <c r="C4" s="17" t="s">
        <v>42</v>
      </c>
      <c r="D4" s="17" t="s">
        <v>40</v>
      </c>
      <c r="E4" s="11">
        <v>1</v>
      </c>
      <c r="F4" s="21">
        <f>LOG10(1.73*10^3)</f>
        <v>3.2380461031287955</v>
      </c>
      <c r="I4" s="22"/>
      <c r="J4" s="22"/>
      <c r="O4" s="22"/>
    </row>
    <row r="5" spans="1:15" x14ac:dyDescent="0.25">
      <c r="A5" s="17">
        <v>12662</v>
      </c>
      <c r="B5" s="17" t="s">
        <v>4</v>
      </c>
      <c r="C5" s="17" t="s">
        <v>42</v>
      </c>
      <c r="D5" s="17" t="s">
        <v>40</v>
      </c>
      <c r="E5" s="11">
        <v>2</v>
      </c>
      <c r="F5" s="21">
        <f>LOG10(7.3*10^3)</f>
        <v>3.8633228601204559</v>
      </c>
      <c r="I5" s="22"/>
      <c r="J5" s="22"/>
      <c r="O5" s="22"/>
    </row>
    <row r="6" spans="1:15" x14ac:dyDescent="0.25">
      <c r="A6" s="17">
        <v>12662</v>
      </c>
      <c r="B6" s="17" t="s">
        <v>4</v>
      </c>
      <c r="C6" s="17" t="s">
        <v>42</v>
      </c>
      <c r="D6" s="17" t="s">
        <v>40</v>
      </c>
      <c r="E6" s="11">
        <v>3</v>
      </c>
      <c r="F6" s="21">
        <f>LOG10(8*10^3)</f>
        <v>3.9030899869919438</v>
      </c>
      <c r="I6" s="22"/>
      <c r="J6" s="22"/>
    </row>
    <row r="7" spans="1:15" x14ac:dyDescent="0.25">
      <c r="A7" s="17">
        <v>12662</v>
      </c>
      <c r="B7" s="17" t="s">
        <v>4</v>
      </c>
      <c r="C7" s="17" t="s">
        <v>42</v>
      </c>
      <c r="D7" s="17" t="s">
        <v>40</v>
      </c>
      <c r="E7" s="11">
        <v>4</v>
      </c>
      <c r="F7" s="21">
        <f>LOG10(4.65*10^3)</f>
        <v>3.667452952889954</v>
      </c>
    </row>
    <row r="8" spans="1:15" x14ac:dyDescent="0.25">
      <c r="A8" s="17">
        <v>12662</v>
      </c>
      <c r="B8" s="17" t="s">
        <v>5</v>
      </c>
      <c r="C8" s="17" t="s">
        <v>42</v>
      </c>
      <c r="D8" s="17" t="s">
        <v>40</v>
      </c>
      <c r="E8" s="11">
        <v>0</v>
      </c>
      <c r="F8" s="21">
        <f>LOG10(5*10^5)</f>
        <v>5.6989700043360187</v>
      </c>
    </row>
    <row r="9" spans="1:15" x14ac:dyDescent="0.25">
      <c r="A9" s="17">
        <v>12662</v>
      </c>
      <c r="B9" s="17" t="s">
        <v>5</v>
      </c>
      <c r="C9" s="17" t="s">
        <v>42</v>
      </c>
      <c r="D9" s="17" t="s">
        <v>40</v>
      </c>
      <c r="E9" s="11">
        <v>0.5</v>
      </c>
      <c r="F9" s="21">
        <f>LOG10(2.33*10^3)</f>
        <v>3.3673559210260189</v>
      </c>
    </row>
    <row r="10" spans="1:15" x14ac:dyDescent="0.25">
      <c r="A10" s="17">
        <v>12662</v>
      </c>
      <c r="B10" s="17" t="s">
        <v>5</v>
      </c>
      <c r="C10" s="17" t="s">
        <v>42</v>
      </c>
      <c r="D10" s="17" t="s">
        <v>40</v>
      </c>
      <c r="E10" s="11">
        <v>1</v>
      </c>
      <c r="F10" s="21">
        <f>LOG10(5.7*10^3)</f>
        <v>3.7558748556724915</v>
      </c>
    </row>
    <row r="11" spans="1:15" x14ac:dyDescent="0.25">
      <c r="A11" s="17">
        <v>12662</v>
      </c>
      <c r="B11" s="17" t="s">
        <v>5</v>
      </c>
      <c r="C11" s="17" t="s">
        <v>42</v>
      </c>
      <c r="D11" s="17" t="s">
        <v>40</v>
      </c>
      <c r="E11" s="11">
        <v>2</v>
      </c>
      <c r="F11" s="21">
        <f>LOG10(1.33*10^4)</f>
        <v>4.1238516409670858</v>
      </c>
    </row>
    <row r="12" spans="1:15" x14ac:dyDescent="0.25">
      <c r="A12" s="17">
        <v>12662</v>
      </c>
      <c r="B12" s="17" t="s">
        <v>5</v>
      </c>
      <c r="C12" s="17" t="s">
        <v>42</v>
      </c>
      <c r="D12" s="17" t="s">
        <v>40</v>
      </c>
      <c r="E12" s="11">
        <v>3</v>
      </c>
      <c r="F12" s="21">
        <f>LOG10(9.35*10^3)</f>
        <v>3.9708116108725178</v>
      </c>
    </row>
    <row r="13" spans="1:15" x14ac:dyDescent="0.25">
      <c r="A13" s="17">
        <v>12662</v>
      </c>
      <c r="B13" s="17" t="s">
        <v>5</v>
      </c>
      <c r="C13" s="17" t="s">
        <v>42</v>
      </c>
      <c r="D13" s="17" t="s">
        <v>40</v>
      </c>
      <c r="E13" s="11">
        <v>4</v>
      </c>
      <c r="F13" s="21">
        <f>LOG10(3.5*10^3)</f>
        <v>3.5440680443502757</v>
      </c>
    </row>
    <row r="14" spans="1:15" x14ac:dyDescent="0.25">
      <c r="A14" s="17">
        <v>12662</v>
      </c>
      <c r="B14" s="17" t="s">
        <v>6</v>
      </c>
      <c r="C14" s="17" t="s">
        <v>42</v>
      </c>
      <c r="D14" s="17" t="s">
        <v>40</v>
      </c>
      <c r="E14" s="11">
        <v>0</v>
      </c>
      <c r="F14" s="21">
        <f>LOG10(4.3*10^5)</f>
        <v>5.6334684555795862</v>
      </c>
    </row>
    <row r="15" spans="1:15" x14ac:dyDescent="0.25">
      <c r="A15" s="17">
        <v>12662</v>
      </c>
      <c r="B15" s="17" t="s">
        <v>6</v>
      </c>
      <c r="C15" s="17" t="s">
        <v>42</v>
      </c>
      <c r="D15" s="17" t="s">
        <v>40</v>
      </c>
      <c r="E15" s="11">
        <v>0.5</v>
      </c>
      <c r="F15" s="21">
        <f>LOG10(3.27*10^4)</f>
        <v>4.5145477526602864</v>
      </c>
    </row>
    <row r="16" spans="1:15" x14ac:dyDescent="0.25">
      <c r="A16" s="17">
        <v>12662</v>
      </c>
      <c r="B16" s="17" t="s">
        <v>6</v>
      </c>
      <c r="C16" s="17" t="s">
        <v>42</v>
      </c>
      <c r="D16" s="17" t="s">
        <v>40</v>
      </c>
      <c r="E16" s="11">
        <v>1</v>
      </c>
      <c r="F16" s="21">
        <f>LOG10(1.47*10^3)</f>
        <v>3.167317334748176</v>
      </c>
    </row>
    <row r="17" spans="1:6" x14ac:dyDescent="0.25">
      <c r="A17" s="17">
        <v>12662</v>
      </c>
      <c r="B17" s="17" t="s">
        <v>6</v>
      </c>
      <c r="C17" s="17" t="s">
        <v>42</v>
      </c>
      <c r="D17" s="17" t="s">
        <v>40</v>
      </c>
      <c r="E17" s="11">
        <v>2</v>
      </c>
      <c r="F17" s="21">
        <f>LOG10(1.67*10^3)</f>
        <v>3.2227164711475833</v>
      </c>
    </row>
    <row r="18" spans="1:6" x14ac:dyDescent="0.25">
      <c r="A18" s="17">
        <v>12662</v>
      </c>
      <c r="B18" s="17" t="s">
        <v>6</v>
      </c>
      <c r="C18" s="17" t="s">
        <v>42</v>
      </c>
      <c r="D18" s="17" t="s">
        <v>40</v>
      </c>
      <c r="E18" s="11">
        <v>3</v>
      </c>
      <c r="F18" s="21">
        <f>LOG10(3.85*10^3)</f>
        <v>3.5854607295085006</v>
      </c>
    </row>
    <row r="19" spans="1:6" x14ac:dyDescent="0.25">
      <c r="A19" s="17">
        <v>12662</v>
      </c>
      <c r="B19" s="17" t="s">
        <v>6</v>
      </c>
      <c r="C19" s="17" t="s">
        <v>42</v>
      </c>
      <c r="D19" s="17" t="s">
        <v>40</v>
      </c>
      <c r="E19" s="11">
        <v>4</v>
      </c>
      <c r="F19" s="21">
        <f>LOG10(8*10^2)</f>
        <v>2.9030899869919438</v>
      </c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55" spans="1:6" x14ac:dyDescent="0.25">
      <c r="A55" s="21"/>
      <c r="B55" s="21"/>
      <c r="C55" s="21"/>
      <c r="D55" s="21"/>
      <c r="E55" s="21"/>
      <c r="F55" s="21"/>
    </row>
    <row r="56" spans="1:6" x14ac:dyDescent="0.25">
      <c r="A56" s="21"/>
      <c r="B56" s="21"/>
      <c r="C56" s="21"/>
      <c r="D56" s="21"/>
      <c r="E56" s="21"/>
      <c r="F56" s="21"/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21"/>
      <c r="F61" s="21"/>
    </row>
    <row r="62" spans="1:6" x14ac:dyDescent="0.25">
      <c r="A62" s="21"/>
      <c r="B62" s="21"/>
      <c r="C62" s="21"/>
      <c r="D62" s="21"/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  <row r="67" spans="1:6" x14ac:dyDescent="0.25">
      <c r="A67" s="21"/>
      <c r="B67" s="21"/>
      <c r="C67" s="21"/>
      <c r="D67" s="21"/>
      <c r="E67" s="21"/>
      <c r="F67" s="21"/>
    </row>
    <row r="68" spans="1:6" x14ac:dyDescent="0.25">
      <c r="A68" s="21"/>
      <c r="B68" s="21"/>
      <c r="C68" s="21"/>
      <c r="D68" s="21"/>
      <c r="E68" s="21"/>
      <c r="F68" s="21"/>
    </row>
    <row r="69" spans="1:6" x14ac:dyDescent="0.25">
      <c r="A69" s="21"/>
      <c r="B69" s="21"/>
      <c r="C69" s="21"/>
      <c r="D69" s="21"/>
      <c r="E69" s="21"/>
      <c r="F69" s="21"/>
    </row>
    <row r="70" spans="1:6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  <c r="B74" s="21"/>
      <c r="C74" s="21"/>
      <c r="D74" s="21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A80" s="21"/>
      <c r="B80" s="21"/>
      <c r="C80" s="21"/>
      <c r="D80" s="21"/>
      <c r="E80" s="21"/>
      <c r="F80" s="21"/>
    </row>
    <row r="81" spans="1:6" x14ac:dyDescent="0.25">
      <c r="A81" s="21"/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/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1"/>
      <c r="B85" s="21"/>
      <c r="C85" s="21"/>
      <c r="D85" s="21"/>
      <c r="E85" s="21"/>
      <c r="F85" s="21"/>
    </row>
    <row r="86" spans="1:6" x14ac:dyDescent="0.25">
      <c r="A86" s="21"/>
      <c r="B86" s="21"/>
      <c r="C86" s="21"/>
      <c r="D86" s="21"/>
      <c r="E86" s="21"/>
      <c r="F86" s="21"/>
    </row>
    <row r="87" spans="1:6" x14ac:dyDescent="0.25">
      <c r="A87" s="21"/>
      <c r="B87" s="21"/>
      <c r="C87" s="21"/>
      <c r="D87" s="21"/>
      <c r="E87" s="21"/>
      <c r="F87" s="21"/>
    </row>
    <row r="88" spans="1:6" x14ac:dyDescent="0.25">
      <c r="A88" s="21"/>
      <c r="B88" s="21"/>
      <c r="C88" s="21"/>
      <c r="D88" s="21"/>
      <c r="E88" s="21"/>
      <c r="F88" s="21"/>
    </row>
    <row r="89" spans="1:6" x14ac:dyDescent="0.25">
      <c r="A89" s="21"/>
      <c r="B89" s="21"/>
      <c r="C89" s="21"/>
      <c r="D89" s="21"/>
      <c r="E89" s="21"/>
      <c r="F89" s="21"/>
    </row>
    <row r="90" spans="1:6" x14ac:dyDescent="0.25">
      <c r="A90" s="21"/>
      <c r="B90" s="21"/>
      <c r="C90" s="21"/>
      <c r="D90" s="21"/>
      <c r="E90" s="21"/>
      <c r="F90" s="21"/>
    </row>
    <row r="91" spans="1:6" x14ac:dyDescent="0.25">
      <c r="A91" s="21"/>
      <c r="B91" s="21"/>
      <c r="C91" s="21"/>
      <c r="D91" s="21"/>
      <c r="E91" s="21"/>
      <c r="F91" s="21"/>
    </row>
    <row r="92" spans="1:6" x14ac:dyDescent="0.25">
      <c r="A92" s="21"/>
      <c r="B92" s="21"/>
      <c r="C92" s="21"/>
      <c r="D92" s="21"/>
      <c r="E92" s="21"/>
      <c r="F92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1"/>
      <c r="B94" s="21"/>
      <c r="C94" s="21"/>
      <c r="D94" s="21"/>
      <c r="E94" s="21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x14ac:dyDescent="0.25">
      <c r="A97" s="21"/>
      <c r="B97" s="21"/>
      <c r="C97" s="21"/>
      <c r="D97" s="21"/>
      <c r="E97" s="21"/>
      <c r="F97" s="21"/>
    </row>
    <row r="98" spans="1:6" x14ac:dyDescent="0.25">
      <c r="A98" s="21"/>
      <c r="B98" s="21"/>
      <c r="C98" s="21"/>
      <c r="D98" s="21"/>
      <c r="E98" s="21"/>
      <c r="F98" s="21"/>
    </row>
    <row r="99" spans="1:6" x14ac:dyDescent="0.25">
      <c r="A99" s="21"/>
      <c r="B99" s="21"/>
      <c r="C99" s="21"/>
      <c r="D99" s="21"/>
      <c r="E99" s="21"/>
      <c r="F99" s="21"/>
    </row>
    <row r="100" spans="1:6" x14ac:dyDescent="0.25">
      <c r="A100" s="21"/>
      <c r="B100" s="21"/>
      <c r="C100" s="21"/>
      <c r="D100" s="21"/>
      <c r="E100" s="21"/>
      <c r="F100" s="21"/>
    </row>
    <row r="101" spans="1:6" x14ac:dyDescent="0.25">
      <c r="A101" s="21"/>
      <c r="B101" s="21"/>
      <c r="C101" s="21"/>
      <c r="D101" s="21"/>
      <c r="E101" s="21"/>
      <c r="F101" s="21"/>
    </row>
    <row r="102" spans="1:6" x14ac:dyDescent="0.25">
      <c r="A102" s="21"/>
      <c r="B102" s="21"/>
      <c r="C102" s="21"/>
      <c r="D102" s="21"/>
      <c r="E102" s="21"/>
      <c r="F102" s="21"/>
    </row>
    <row r="103" spans="1:6" x14ac:dyDescent="0.25">
      <c r="A103" s="21"/>
      <c r="B103" s="21"/>
      <c r="C103" s="21"/>
      <c r="D103" s="21"/>
      <c r="E103" s="21"/>
      <c r="F103" s="21"/>
    </row>
    <row r="104" spans="1:6" x14ac:dyDescent="0.25">
      <c r="A104" s="21"/>
      <c r="B104" s="21"/>
      <c r="C104" s="21"/>
      <c r="D104" s="21"/>
      <c r="E104" s="21"/>
      <c r="F104" s="21"/>
    </row>
    <row r="105" spans="1:6" x14ac:dyDescent="0.25">
      <c r="A105" s="21"/>
      <c r="B105" s="21"/>
      <c r="C105" s="21"/>
      <c r="D105" s="21"/>
      <c r="E105" s="21"/>
      <c r="F105" s="21"/>
    </row>
    <row r="106" spans="1:6" x14ac:dyDescent="0.25">
      <c r="A106" s="21"/>
      <c r="B106" s="21"/>
      <c r="C106" s="21"/>
      <c r="D106" s="21"/>
      <c r="E106" s="21"/>
      <c r="F106" s="21"/>
    </row>
    <row r="107" spans="1:6" x14ac:dyDescent="0.25">
      <c r="A107" s="21"/>
      <c r="B107" s="21"/>
      <c r="C107" s="21"/>
      <c r="D107" s="21"/>
      <c r="E107" s="21"/>
      <c r="F107" s="21"/>
    </row>
    <row r="108" spans="1:6" x14ac:dyDescent="0.25">
      <c r="A108" s="21"/>
      <c r="B108" s="21"/>
      <c r="C108" s="21"/>
      <c r="D108" s="21"/>
      <c r="E108" s="21"/>
      <c r="F108" s="21"/>
    </row>
    <row r="109" spans="1:6" x14ac:dyDescent="0.25">
      <c r="A109" s="21"/>
      <c r="B109" s="21"/>
      <c r="C109" s="21"/>
      <c r="D109" s="21"/>
      <c r="E109" s="21"/>
      <c r="F109" s="21"/>
    </row>
    <row r="110" spans="1:6" x14ac:dyDescent="0.25">
      <c r="A110" s="21"/>
      <c r="B110" s="21"/>
      <c r="C110" s="21"/>
      <c r="D110" s="21"/>
      <c r="E110" s="21"/>
      <c r="F110" s="21"/>
    </row>
    <row r="111" spans="1:6" x14ac:dyDescent="0.25">
      <c r="A111" s="21"/>
      <c r="B111" s="21"/>
      <c r="C111" s="21"/>
      <c r="D111" s="21"/>
      <c r="E111" s="21"/>
      <c r="F111" s="21"/>
    </row>
    <row r="112" spans="1:6" x14ac:dyDescent="0.25">
      <c r="A112" s="21"/>
      <c r="B112" s="21"/>
      <c r="C112" s="21"/>
      <c r="D112" s="21"/>
      <c r="E112" s="21"/>
      <c r="F112" s="21"/>
    </row>
    <row r="113" spans="1:6" x14ac:dyDescent="0.25">
      <c r="A113" s="21"/>
      <c r="B113" s="21"/>
      <c r="C113" s="21"/>
      <c r="D113" s="21"/>
      <c r="E113" s="21"/>
      <c r="F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  <c r="F115" s="21"/>
    </row>
    <row r="116" spans="1:6" x14ac:dyDescent="0.25">
      <c r="A116" s="21"/>
      <c r="B116" s="21"/>
      <c r="C116" s="21"/>
      <c r="D116" s="21"/>
      <c r="E116" s="21"/>
      <c r="F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C118" s="21"/>
      <c r="D118" s="21"/>
      <c r="E118" s="21"/>
      <c r="F118" s="21"/>
    </row>
    <row r="119" spans="1:6" x14ac:dyDescent="0.25">
      <c r="A119" s="21"/>
      <c r="B119" s="21"/>
      <c r="C119" s="21"/>
      <c r="D119" s="21"/>
      <c r="E119" s="21"/>
      <c r="F119" s="21"/>
    </row>
    <row r="120" spans="1:6" x14ac:dyDescent="0.25">
      <c r="A120" s="21"/>
      <c r="B120" s="21"/>
      <c r="C120" s="21"/>
      <c r="D120" s="21"/>
      <c r="E120" s="21"/>
      <c r="F120" s="21"/>
    </row>
    <row r="121" spans="1:6" x14ac:dyDescent="0.25">
      <c r="A121" s="21"/>
      <c r="B121" s="21"/>
      <c r="C121" s="21"/>
      <c r="D121" s="21"/>
      <c r="E121" s="21"/>
      <c r="F121" s="21"/>
    </row>
    <row r="122" spans="1:6" x14ac:dyDescent="0.25">
      <c r="A122" s="21"/>
      <c r="B122" s="21"/>
      <c r="C122" s="21"/>
      <c r="D122" s="21"/>
      <c r="E122" s="21"/>
      <c r="F122" s="21"/>
    </row>
    <row r="123" spans="1:6" x14ac:dyDescent="0.25">
      <c r="A123" s="21"/>
      <c r="B123" s="21"/>
      <c r="C123" s="21"/>
      <c r="D123" s="21"/>
      <c r="E123" s="21"/>
      <c r="F123" s="21"/>
    </row>
    <row r="124" spans="1:6" x14ac:dyDescent="0.25">
      <c r="A124" s="21"/>
      <c r="B124" s="21"/>
      <c r="C124" s="21"/>
      <c r="D124" s="21"/>
      <c r="E124" s="21"/>
      <c r="F124" s="21"/>
    </row>
    <row r="125" spans="1:6" x14ac:dyDescent="0.25">
      <c r="A125" s="21"/>
      <c r="B125" s="21"/>
      <c r="C125" s="21"/>
      <c r="D125" s="21"/>
      <c r="E125" s="21"/>
      <c r="F125" s="21"/>
    </row>
    <row r="126" spans="1:6" x14ac:dyDescent="0.25">
      <c r="A126" s="21"/>
      <c r="B126" s="21"/>
      <c r="C126" s="21"/>
      <c r="D126" s="21"/>
      <c r="E126" s="21"/>
      <c r="F126" s="21"/>
    </row>
    <row r="127" spans="1:6" x14ac:dyDescent="0.25">
      <c r="A127" s="21"/>
      <c r="B127" s="21"/>
      <c r="C127" s="21"/>
      <c r="D127" s="21"/>
      <c r="E127" s="21"/>
      <c r="F127" s="21"/>
    </row>
    <row r="128" spans="1:6" x14ac:dyDescent="0.25">
      <c r="A128" s="21"/>
      <c r="B128" s="21"/>
      <c r="C128" s="21"/>
      <c r="D128" s="21"/>
      <c r="E128" s="21"/>
      <c r="F128" s="21"/>
    </row>
    <row r="129" spans="1:6" x14ac:dyDescent="0.25">
      <c r="A129" s="21"/>
      <c r="B129" s="21"/>
      <c r="C129" s="21"/>
      <c r="D129" s="21"/>
      <c r="E129" s="21"/>
      <c r="F129" s="21"/>
    </row>
    <row r="130" spans="1:6" x14ac:dyDescent="0.25">
      <c r="A130" s="21"/>
      <c r="B130" s="21"/>
      <c r="C130" s="21"/>
      <c r="D130" s="21"/>
      <c r="E130" s="21"/>
      <c r="F130" s="21"/>
    </row>
    <row r="131" spans="1:6" x14ac:dyDescent="0.25">
      <c r="A131" s="21"/>
      <c r="B131" s="21"/>
      <c r="C131" s="21"/>
      <c r="D131" s="21"/>
      <c r="E131" s="21"/>
      <c r="F131" s="21"/>
    </row>
    <row r="132" spans="1:6" x14ac:dyDescent="0.25">
      <c r="A132" s="21"/>
      <c r="B132" s="21"/>
      <c r="C132" s="21"/>
      <c r="D132" s="21"/>
      <c r="E132" s="21"/>
      <c r="F132" s="21"/>
    </row>
    <row r="133" spans="1:6" x14ac:dyDescent="0.25">
      <c r="A133" s="21"/>
      <c r="B133" s="21"/>
      <c r="C133" s="21"/>
      <c r="D133" s="21"/>
      <c r="E133" s="21"/>
      <c r="F133" s="21"/>
    </row>
    <row r="134" spans="1:6" x14ac:dyDescent="0.25">
      <c r="A134" s="21"/>
      <c r="B134" s="21"/>
      <c r="C134" s="21"/>
      <c r="D134" s="21"/>
      <c r="E134" s="21"/>
      <c r="F134" s="21"/>
    </row>
    <row r="135" spans="1:6" x14ac:dyDescent="0.25">
      <c r="A135" s="21"/>
      <c r="B135" s="21"/>
      <c r="C135" s="21"/>
      <c r="D135" s="21"/>
      <c r="E135" s="21"/>
      <c r="F135" s="21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0" spans="1:6" x14ac:dyDescent="0.25">
      <c r="A170" s="21"/>
      <c r="B170" s="21"/>
      <c r="C170" s="21"/>
      <c r="D170" s="21"/>
      <c r="E170" s="21"/>
      <c r="F170" s="21"/>
    </row>
    <row r="171" spans="1:6" x14ac:dyDescent="0.25">
      <c r="A171" s="21"/>
      <c r="B171" s="21"/>
      <c r="C171" s="21"/>
      <c r="D171" s="21"/>
      <c r="E171" s="21"/>
      <c r="F171" s="21"/>
    </row>
    <row r="172" spans="1:6" x14ac:dyDescent="0.25">
      <c r="A172" s="21"/>
      <c r="B172" s="21"/>
      <c r="C172" s="21"/>
      <c r="D172" s="21"/>
      <c r="E172" s="21"/>
      <c r="F172" s="21"/>
    </row>
    <row r="173" spans="1:6" x14ac:dyDescent="0.25">
      <c r="A173" s="21"/>
      <c r="B173" s="21"/>
      <c r="C173" s="21"/>
      <c r="D173" s="21"/>
      <c r="E173" s="21"/>
      <c r="F173" s="21"/>
    </row>
    <row r="174" spans="1:6" x14ac:dyDescent="0.25">
      <c r="A174" s="21"/>
      <c r="B174" s="21"/>
      <c r="C174" s="21"/>
      <c r="D174" s="21"/>
      <c r="E174" s="21"/>
      <c r="F174" s="21"/>
    </row>
    <row r="175" spans="1:6" x14ac:dyDescent="0.25">
      <c r="A175" s="21"/>
      <c r="B175" s="21"/>
      <c r="C175" s="21"/>
      <c r="D175" s="21"/>
      <c r="E175" s="21"/>
      <c r="F175" s="21"/>
    </row>
    <row r="176" spans="1:6" x14ac:dyDescent="0.25">
      <c r="A176" s="21"/>
      <c r="B176" s="21"/>
      <c r="C176" s="21"/>
      <c r="D176" s="21"/>
      <c r="E176" s="21"/>
      <c r="F176" s="21"/>
    </row>
    <row r="177" spans="1:6" x14ac:dyDescent="0.25">
      <c r="A177" s="21"/>
      <c r="B177" s="21"/>
      <c r="C177" s="21"/>
      <c r="D177" s="21"/>
      <c r="E177" s="21"/>
      <c r="F177" s="21"/>
    </row>
    <row r="178" spans="1:6" x14ac:dyDescent="0.25">
      <c r="A178" s="21"/>
      <c r="B178" s="21"/>
      <c r="C178" s="21"/>
      <c r="D178" s="21"/>
      <c r="E178" s="21"/>
      <c r="F178" s="21"/>
    </row>
    <row r="179" spans="1:6" x14ac:dyDescent="0.25">
      <c r="A179" s="21"/>
      <c r="B179" s="21"/>
      <c r="C179" s="21"/>
      <c r="D179" s="21"/>
      <c r="E179" s="21"/>
      <c r="F179" s="21"/>
    </row>
    <row r="180" spans="1:6" x14ac:dyDescent="0.25">
      <c r="A180" s="21"/>
      <c r="B180" s="21"/>
      <c r="C180" s="21"/>
      <c r="D180" s="21"/>
      <c r="E180" s="21"/>
      <c r="F180" s="21"/>
    </row>
    <row r="181" spans="1:6" x14ac:dyDescent="0.25">
      <c r="A181" s="21"/>
      <c r="B181" s="21"/>
      <c r="C181" s="21"/>
      <c r="D181" s="21"/>
      <c r="E181" s="21"/>
      <c r="F181" s="21"/>
    </row>
    <row r="182" spans="1:6" x14ac:dyDescent="0.25">
      <c r="A182" s="21"/>
      <c r="B182" s="21"/>
      <c r="C182" s="21"/>
      <c r="D182" s="21"/>
      <c r="E182" s="21"/>
      <c r="F182" s="21"/>
    </row>
    <row r="183" spans="1:6" x14ac:dyDescent="0.25">
      <c r="A183" s="21"/>
      <c r="B183" s="21"/>
      <c r="C183" s="21"/>
      <c r="D183" s="21"/>
      <c r="E183" s="21"/>
      <c r="F183" s="21"/>
    </row>
    <row r="184" spans="1:6" x14ac:dyDescent="0.25">
      <c r="A184" s="21"/>
      <c r="B184" s="21"/>
      <c r="C184" s="21"/>
      <c r="D184" s="21"/>
      <c r="E184" s="21"/>
      <c r="F184" s="21"/>
    </row>
    <row r="185" spans="1:6" x14ac:dyDescent="0.25">
      <c r="A185" s="21"/>
      <c r="B185" s="21"/>
      <c r="C185" s="21"/>
      <c r="D185" s="21"/>
      <c r="E185" s="21"/>
      <c r="F185" s="21"/>
    </row>
    <row r="186" spans="1:6" x14ac:dyDescent="0.25">
      <c r="A186" s="21"/>
      <c r="B186" s="21"/>
      <c r="C186" s="21"/>
      <c r="D186" s="21"/>
      <c r="E186" s="21"/>
      <c r="F186" s="21"/>
    </row>
    <row r="187" spans="1:6" x14ac:dyDescent="0.25">
      <c r="A187" s="21"/>
      <c r="B187" s="21"/>
      <c r="C187" s="21"/>
      <c r="D187" s="21"/>
      <c r="E187" s="21"/>
      <c r="F187" s="21"/>
    </row>
    <row r="188" spans="1:6" x14ac:dyDescent="0.25">
      <c r="A188" s="21"/>
      <c r="B188" s="21"/>
      <c r="C188" s="21"/>
      <c r="D188" s="21"/>
      <c r="E188" s="21"/>
      <c r="F188" s="21"/>
    </row>
    <row r="189" spans="1:6" x14ac:dyDescent="0.25">
      <c r="A189" s="21"/>
      <c r="B189" s="21"/>
      <c r="C189" s="21"/>
      <c r="D189" s="21"/>
      <c r="E189" s="21"/>
      <c r="F189" s="21"/>
    </row>
    <row r="190" spans="1:6" x14ac:dyDescent="0.25">
      <c r="A190" s="21"/>
      <c r="B190" s="21"/>
      <c r="C190" s="21"/>
      <c r="D190" s="21"/>
      <c r="E190" s="21"/>
      <c r="F190" s="21"/>
    </row>
    <row r="191" spans="1:6" x14ac:dyDescent="0.25">
      <c r="A191" s="21"/>
      <c r="B191" s="21"/>
      <c r="C191" s="21"/>
      <c r="D191" s="21"/>
      <c r="E191" s="21"/>
      <c r="F191" s="21"/>
    </row>
    <row r="192" spans="1:6" x14ac:dyDescent="0.25">
      <c r="A192" s="21"/>
      <c r="B192" s="21"/>
      <c r="C192" s="21"/>
      <c r="D192" s="21"/>
      <c r="E192" s="21"/>
      <c r="F192" s="21"/>
    </row>
    <row r="193" spans="1:6" x14ac:dyDescent="0.25">
      <c r="A193" s="21"/>
      <c r="B193" s="21"/>
      <c r="C193" s="21"/>
      <c r="D193" s="21"/>
      <c r="E193" s="21"/>
      <c r="F193" s="21"/>
    </row>
    <row r="194" spans="1:6" x14ac:dyDescent="0.25">
      <c r="A194" s="21"/>
      <c r="B194" s="21"/>
      <c r="C194" s="21"/>
      <c r="D194" s="21"/>
      <c r="E194" s="21"/>
      <c r="F194" s="21"/>
    </row>
    <row r="195" spans="1:6" x14ac:dyDescent="0.25">
      <c r="A195" s="21"/>
      <c r="B195" s="21"/>
      <c r="C195" s="21"/>
      <c r="D195" s="21"/>
      <c r="E195" s="21"/>
      <c r="F195" s="21"/>
    </row>
    <row r="196" spans="1:6" x14ac:dyDescent="0.25">
      <c r="A196" s="21"/>
      <c r="B196" s="21"/>
      <c r="C196" s="21"/>
      <c r="D196" s="21"/>
      <c r="E196" s="21"/>
      <c r="F196" s="21"/>
    </row>
    <row r="197" spans="1:6" x14ac:dyDescent="0.25">
      <c r="A197" s="21"/>
      <c r="B197" s="21"/>
      <c r="C197" s="21"/>
      <c r="D197" s="21"/>
      <c r="E197" s="21"/>
      <c r="F197" s="21"/>
    </row>
    <row r="198" spans="1:6" x14ac:dyDescent="0.25">
      <c r="A198" s="21"/>
      <c r="B198" s="21"/>
      <c r="C198" s="21"/>
      <c r="D198" s="21"/>
      <c r="E198" s="21"/>
      <c r="F198" s="21"/>
    </row>
    <row r="199" spans="1:6" x14ac:dyDescent="0.25">
      <c r="A199" s="21"/>
      <c r="B199" s="21"/>
      <c r="C199" s="21"/>
      <c r="D199" s="21"/>
      <c r="E199" s="21"/>
      <c r="F199" s="21"/>
    </row>
    <row r="200" spans="1:6" x14ac:dyDescent="0.25">
      <c r="A200" s="21"/>
      <c r="B200" s="21"/>
      <c r="C200" s="21"/>
      <c r="D200" s="21"/>
      <c r="E200" s="21"/>
      <c r="F200" s="21"/>
    </row>
    <row r="201" spans="1:6" x14ac:dyDescent="0.25">
      <c r="A201" s="21"/>
      <c r="B201" s="21"/>
      <c r="C201" s="21"/>
      <c r="D201" s="21"/>
      <c r="E201" s="21"/>
      <c r="F201" s="21"/>
    </row>
    <row r="202" spans="1:6" x14ac:dyDescent="0.25">
      <c r="A202" s="21"/>
      <c r="B202" s="21"/>
      <c r="C202" s="21"/>
      <c r="D202" s="21"/>
      <c r="E202" s="21"/>
      <c r="F202" s="21"/>
    </row>
    <row r="203" spans="1:6" x14ac:dyDescent="0.25">
      <c r="A203" s="21"/>
      <c r="B203" s="21"/>
      <c r="C203" s="21"/>
      <c r="D203" s="21"/>
      <c r="E203" s="21"/>
      <c r="F203" s="21"/>
    </row>
    <row r="204" spans="1:6" x14ac:dyDescent="0.25">
      <c r="A204" s="21"/>
      <c r="B204" s="21"/>
      <c r="C204" s="21"/>
      <c r="D204" s="21"/>
      <c r="E204" s="21"/>
      <c r="F204" s="21"/>
    </row>
    <row r="205" spans="1:6" x14ac:dyDescent="0.25">
      <c r="A205" s="21"/>
      <c r="B205" s="21"/>
      <c r="C205" s="21"/>
      <c r="D205" s="21"/>
      <c r="E205" s="21"/>
      <c r="F205" s="21"/>
    </row>
    <row r="206" spans="1:6" x14ac:dyDescent="0.25">
      <c r="A206" s="21"/>
      <c r="B206" s="21"/>
      <c r="C206" s="21"/>
      <c r="D206" s="21"/>
      <c r="E206" s="21"/>
      <c r="F206" s="21"/>
    </row>
    <row r="207" spans="1:6" x14ac:dyDescent="0.25">
      <c r="A207" s="21"/>
      <c r="B207" s="21"/>
      <c r="C207" s="21"/>
      <c r="D207" s="21"/>
      <c r="E207" s="21"/>
      <c r="F207" s="21"/>
    </row>
    <row r="208" spans="1:6" x14ac:dyDescent="0.25">
      <c r="A208" s="21"/>
      <c r="B208" s="21"/>
      <c r="C208" s="21"/>
      <c r="D208" s="21"/>
      <c r="E208" s="21"/>
      <c r="F208" s="21"/>
    </row>
    <row r="209" spans="1:6" x14ac:dyDescent="0.25">
      <c r="A209" s="21"/>
      <c r="B209" s="21"/>
      <c r="C209" s="21"/>
      <c r="D209" s="21"/>
      <c r="E209" s="21"/>
      <c r="F209" s="21"/>
    </row>
    <row r="210" spans="1:6" x14ac:dyDescent="0.25">
      <c r="A210" s="21"/>
      <c r="B210" s="21"/>
      <c r="C210" s="21"/>
      <c r="D210" s="21"/>
      <c r="E210" s="21"/>
      <c r="F210" s="21"/>
    </row>
    <row r="211" spans="1:6" x14ac:dyDescent="0.25">
      <c r="A211" s="21"/>
      <c r="B211" s="21"/>
      <c r="C211" s="21"/>
      <c r="D211" s="21"/>
      <c r="E211" s="21"/>
      <c r="F211" s="21"/>
    </row>
    <row r="212" spans="1:6" x14ac:dyDescent="0.25">
      <c r="A212" s="21"/>
      <c r="B212" s="21"/>
      <c r="C212" s="21"/>
      <c r="D212" s="21"/>
      <c r="E212" s="21"/>
      <c r="F212" s="21"/>
    </row>
    <row r="213" spans="1:6" x14ac:dyDescent="0.25">
      <c r="A213" s="21"/>
      <c r="B213" s="21"/>
      <c r="C213" s="21"/>
      <c r="D213" s="21"/>
      <c r="E213" s="21"/>
      <c r="F213" s="21"/>
    </row>
    <row r="214" spans="1:6" x14ac:dyDescent="0.25">
      <c r="A214" s="21"/>
      <c r="B214" s="21"/>
      <c r="C214" s="21"/>
      <c r="D214" s="21"/>
      <c r="E214" s="21"/>
      <c r="F214" s="21"/>
    </row>
    <row r="215" spans="1:6" x14ac:dyDescent="0.25">
      <c r="A215" s="21"/>
      <c r="B215" s="21"/>
      <c r="C215" s="21"/>
      <c r="D215" s="21"/>
      <c r="E215" s="21"/>
      <c r="F215" s="21"/>
    </row>
    <row r="216" spans="1:6" x14ac:dyDescent="0.25">
      <c r="A216" s="21"/>
      <c r="B216" s="21"/>
      <c r="C216" s="21"/>
      <c r="D216" s="21"/>
      <c r="E216" s="21"/>
      <c r="F216" s="21"/>
    </row>
    <row r="217" spans="1:6" x14ac:dyDescent="0.25">
      <c r="A217" s="21"/>
      <c r="B217" s="21"/>
      <c r="C217" s="21"/>
      <c r="D217" s="21"/>
      <c r="E217" s="21"/>
      <c r="F217" s="21"/>
    </row>
    <row r="218" spans="1:6" x14ac:dyDescent="0.25">
      <c r="A218" s="21"/>
      <c r="B218" s="21"/>
      <c r="C218" s="21"/>
      <c r="D218" s="21"/>
      <c r="E218" s="21"/>
      <c r="F218" s="21"/>
    </row>
    <row r="219" spans="1:6" x14ac:dyDescent="0.25">
      <c r="A219" s="21"/>
      <c r="B219" s="21"/>
      <c r="C219" s="21"/>
      <c r="D219" s="21"/>
      <c r="E219" s="21"/>
      <c r="F219" s="21"/>
    </row>
    <row r="220" spans="1:6" x14ac:dyDescent="0.25">
      <c r="A220" s="21"/>
      <c r="B220" s="21"/>
      <c r="C220" s="21"/>
      <c r="D220" s="21"/>
      <c r="E220" s="21"/>
      <c r="F220" s="21"/>
    </row>
    <row r="221" spans="1:6" x14ac:dyDescent="0.25">
      <c r="A221" s="21"/>
      <c r="B221" s="21"/>
      <c r="C221" s="21"/>
      <c r="D221" s="21"/>
      <c r="E221" s="21"/>
      <c r="F221" s="21"/>
    </row>
    <row r="222" spans="1:6" x14ac:dyDescent="0.25">
      <c r="A222" s="21"/>
      <c r="B222" s="21"/>
      <c r="C222" s="21"/>
      <c r="D222" s="21"/>
      <c r="E222" s="21"/>
      <c r="F222" s="21"/>
    </row>
    <row r="223" spans="1:6" x14ac:dyDescent="0.25">
      <c r="A223" s="21"/>
      <c r="B223" s="21"/>
      <c r="C223" s="21"/>
      <c r="D223" s="21"/>
      <c r="E223" s="21"/>
      <c r="F223" s="21"/>
    </row>
    <row r="224" spans="1:6" x14ac:dyDescent="0.25">
      <c r="A224" s="21"/>
      <c r="B224" s="21"/>
      <c r="C224" s="21"/>
      <c r="D224" s="21"/>
      <c r="E224" s="21"/>
      <c r="F224" s="21"/>
    </row>
    <row r="225" spans="1:6" x14ac:dyDescent="0.25">
      <c r="A225" s="21"/>
      <c r="B225" s="21"/>
      <c r="C225" s="21"/>
      <c r="D225" s="21"/>
      <c r="E225" s="21"/>
      <c r="F225" s="21"/>
    </row>
    <row r="226" spans="1:6" x14ac:dyDescent="0.25">
      <c r="A226" s="21"/>
      <c r="B226" s="21"/>
      <c r="C226" s="21"/>
      <c r="D226" s="21"/>
      <c r="E226" s="21"/>
      <c r="F226" s="21"/>
    </row>
    <row r="227" spans="1:6" x14ac:dyDescent="0.25">
      <c r="A227" s="21"/>
      <c r="B227" s="21"/>
      <c r="C227" s="21"/>
      <c r="D227" s="21"/>
      <c r="E227" s="21"/>
      <c r="F227" s="21"/>
    </row>
    <row r="228" spans="1:6" x14ac:dyDescent="0.25">
      <c r="A228" s="21"/>
      <c r="B228" s="21"/>
      <c r="C228" s="21"/>
      <c r="D228" s="21"/>
      <c r="E228" s="21"/>
      <c r="F228" s="21"/>
    </row>
    <row r="229" spans="1:6" x14ac:dyDescent="0.25">
      <c r="A229" s="21"/>
      <c r="B229" s="21"/>
      <c r="C229" s="21"/>
      <c r="D229" s="21"/>
      <c r="E229" s="21"/>
      <c r="F229" s="21"/>
    </row>
    <row r="230" spans="1:6" x14ac:dyDescent="0.25">
      <c r="A230" s="21"/>
      <c r="B230" s="21"/>
      <c r="C230" s="21"/>
      <c r="D230" s="21"/>
      <c r="E230" s="21"/>
      <c r="F230" s="21"/>
    </row>
    <row r="231" spans="1:6" x14ac:dyDescent="0.25">
      <c r="A231" s="21"/>
      <c r="B231" s="21"/>
      <c r="C231" s="21"/>
      <c r="D231" s="21"/>
      <c r="E231" s="21"/>
      <c r="F231" s="21"/>
    </row>
    <row r="232" spans="1:6" x14ac:dyDescent="0.25">
      <c r="A232" s="21"/>
      <c r="B232" s="21"/>
      <c r="C232" s="21"/>
      <c r="D232" s="21"/>
      <c r="E232" s="21"/>
      <c r="F232" s="21"/>
    </row>
    <row r="233" spans="1:6" x14ac:dyDescent="0.25">
      <c r="A233" s="21"/>
      <c r="B233" s="21"/>
      <c r="C233" s="21"/>
      <c r="D233" s="21"/>
      <c r="E233" s="21"/>
      <c r="F233" s="21"/>
    </row>
    <row r="234" spans="1:6" x14ac:dyDescent="0.25">
      <c r="A234" s="21"/>
      <c r="B234" s="21"/>
      <c r="C234" s="21"/>
      <c r="D234" s="21"/>
      <c r="E234" s="21"/>
      <c r="F234" s="21"/>
    </row>
    <row r="235" spans="1:6" x14ac:dyDescent="0.25">
      <c r="A235" s="21"/>
      <c r="B235" s="21"/>
      <c r="C235" s="21"/>
      <c r="D235" s="21"/>
      <c r="E235" s="21"/>
      <c r="F235" s="21"/>
    </row>
    <row r="236" spans="1:6" x14ac:dyDescent="0.25">
      <c r="A236" s="21"/>
      <c r="B236" s="21"/>
      <c r="C236" s="21"/>
      <c r="D236" s="21"/>
      <c r="E236" s="21"/>
      <c r="F236" s="21"/>
    </row>
    <row r="237" spans="1:6" x14ac:dyDescent="0.25">
      <c r="A237" s="21"/>
      <c r="B237" s="21"/>
      <c r="C237" s="21"/>
      <c r="D237" s="21"/>
      <c r="E237" s="21"/>
      <c r="F237" s="21"/>
    </row>
    <row r="238" spans="1:6" x14ac:dyDescent="0.25">
      <c r="A238" s="21"/>
      <c r="B238" s="21"/>
      <c r="C238" s="21"/>
      <c r="D238" s="21"/>
      <c r="E238" s="21"/>
      <c r="F238" s="21"/>
    </row>
    <row r="239" spans="1:6" x14ac:dyDescent="0.25">
      <c r="A239" s="21"/>
      <c r="B239" s="21"/>
      <c r="C239" s="21"/>
      <c r="D239" s="21"/>
      <c r="E239" s="21"/>
      <c r="F239" s="21"/>
    </row>
    <row r="240" spans="1:6" x14ac:dyDescent="0.25">
      <c r="A240" s="21"/>
      <c r="B240" s="21"/>
      <c r="C240" s="21"/>
      <c r="D240" s="21"/>
      <c r="E240" s="21"/>
      <c r="F240" s="21"/>
    </row>
    <row r="241" spans="1:6" x14ac:dyDescent="0.25">
      <c r="A241" s="21"/>
      <c r="B241" s="21"/>
      <c r="C241" s="21"/>
      <c r="D241" s="21"/>
      <c r="E241" s="21"/>
      <c r="F241" s="21"/>
    </row>
    <row r="242" spans="1:6" x14ac:dyDescent="0.25">
      <c r="A242" s="21"/>
      <c r="B242" s="21"/>
      <c r="C242" s="21"/>
      <c r="D242" s="21"/>
      <c r="E242" s="21"/>
      <c r="F242" s="21"/>
    </row>
    <row r="243" spans="1:6" x14ac:dyDescent="0.25">
      <c r="A243" s="21"/>
      <c r="B243" s="21"/>
      <c r="C243" s="21"/>
      <c r="D243" s="21"/>
      <c r="E243" s="21"/>
      <c r="F243" s="21"/>
    </row>
    <row r="244" spans="1:6" x14ac:dyDescent="0.25">
      <c r="A244" s="21"/>
      <c r="B244" s="21"/>
      <c r="C244" s="21"/>
      <c r="D244" s="21"/>
      <c r="E244" s="21"/>
      <c r="F244" s="21"/>
    </row>
    <row r="245" spans="1:6" x14ac:dyDescent="0.25">
      <c r="A245" s="21"/>
      <c r="B245" s="21"/>
      <c r="C245" s="21"/>
      <c r="D245" s="21"/>
      <c r="E245" s="21"/>
      <c r="F245" s="21"/>
    </row>
    <row r="246" spans="1:6" x14ac:dyDescent="0.25">
      <c r="A246" s="21"/>
      <c r="B246" s="21"/>
      <c r="C246" s="21"/>
      <c r="D246" s="21"/>
      <c r="E246" s="21"/>
      <c r="F246" s="21"/>
    </row>
    <row r="247" spans="1:6" x14ac:dyDescent="0.25">
      <c r="A247" s="21"/>
      <c r="B247" s="21"/>
      <c r="C247" s="21"/>
      <c r="D247" s="21"/>
      <c r="E247" s="21"/>
      <c r="F247" s="21"/>
    </row>
    <row r="248" spans="1:6" x14ac:dyDescent="0.25">
      <c r="A248" s="21"/>
      <c r="B248" s="21"/>
      <c r="C248" s="21"/>
      <c r="D248" s="21"/>
      <c r="E248" s="21"/>
      <c r="F248" s="21"/>
    </row>
    <row r="249" spans="1:6" x14ac:dyDescent="0.25">
      <c r="A249" s="21"/>
      <c r="B249" s="21"/>
      <c r="C249" s="21"/>
      <c r="D249" s="21"/>
      <c r="E249" s="21"/>
      <c r="F249" s="21"/>
    </row>
    <row r="250" spans="1:6" x14ac:dyDescent="0.25">
      <c r="A250" s="21"/>
      <c r="B250" s="21"/>
      <c r="C250" s="21"/>
      <c r="D250" s="21"/>
      <c r="E250" s="21"/>
      <c r="F250" s="21"/>
    </row>
    <row r="251" spans="1:6" x14ac:dyDescent="0.25">
      <c r="A251" s="21"/>
      <c r="B251" s="21"/>
      <c r="C251" s="21"/>
      <c r="D251" s="21"/>
      <c r="E251" s="21"/>
      <c r="F251" s="21"/>
    </row>
    <row r="252" spans="1:6" x14ac:dyDescent="0.25">
      <c r="A252" s="21"/>
      <c r="B252" s="21"/>
      <c r="C252" s="21"/>
      <c r="D252" s="21"/>
      <c r="E252" s="21"/>
      <c r="F252" s="21"/>
    </row>
    <row r="253" spans="1:6" x14ac:dyDescent="0.25">
      <c r="A253" s="21"/>
      <c r="B253" s="21"/>
      <c r="C253" s="21"/>
      <c r="D253" s="21"/>
      <c r="E253" s="21"/>
      <c r="F253" s="21"/>
    </row>
    <row r="254" spans="1:6" x14ac:dyDescent="0.25">
      <c r="A254" s="21"/>
      <c r="B254" s="21"/>
      <c r="C254" s="21"/>
      <c r="D254" s="21"/>
      <c r="E254" s="21"/>
      <c r="F254" s="21"/>
    </row>
    <row r="255" spans="1:6" x14ac:dyDescent="0.25">
      <c r="A255" s="21"/>
      <c r="B255" s="21"/>
      <c r="C255" s="21"/>
      <c r="D255" s="21"/>
      <c r="E255" s="21"/>
      <c r="F255" s="21"/>
    </row>
    <row r="256" spans="1:6" x14ac:dyDescent="0.25">
      <c r="A256" s="21"/>
      <c r="B256" s="21"/>
      <c r="C256" s="21"/>
      <c r="D256" s="21"/>
      <c r="E256" s="21"/>
      <c r="F256" s="21"/>
    </row>
    <row r="257" spans="1:6" x14ac:dyDescent="0.25">
      <c r="A257" s="21"/>
      <c r="B257" s="21"/>
      <c r="C257" s="21"/>
      <c r="D257" s="21"/>
      <c r="E257" s="21"/>
      <c r="F257" s="21"/>
    </row>
    <row r="258" spans="1:6" x14ac:dyDescent="0.25">
      <c r="A258" s="21"/>
      <c r="B258" s="21"/>
      <c r="C258" s="21"/>
      <c r="D258" s="21"/>
      <c r="E258" s="21"/>
      <c r="F258" s="21"/>
    </row>
    <row r="259" spans="1:6" x14ac:dyDescent="0.25">
      <c r="A259" s="21"/>
      <c r="B259" s="21"/>
      <c r="C259" s="21"/>
      <c r="D259" s="21"/>
      <c r="E259" s="21"/>
      <c r="F259" s="21"/>
    </row>
    <row r="260" spans="1:6" x14ac:dyDescent="0.25">
      <c r="A260" s="21"/>
      <c r="B260" s="21"/>
      <c r="C260" s="21"/>
      <c r="D260" s="21"/>
      <c r="E260" s="21"/>
      <c r="F260" s="21"/>
    </row>
    <row r="261" spans="1:6" x14ac:dyDescent="0.25">
      <c r="A261" s="21"/>
      <c r="B261" s="21"/>
      <c r="C261" s="21"/>
      <c r="D261" s="21"/>
      <c r="E261" s="21"/>
      <c r="F261" s="21"/>
    </row>
    <row r="262" spans="1:6" x14ac:dyDescent="0.25">
      <c r="A262" s="21"/>
      <c r="B262" s="21"/>
      <c r="C262" s="21"/>
      <c r="D262" s="21"/>
      <c r="E262" s="21"/>
      <c r="F262" s="21"/>
    </row>
    <row r="263" spans="1:6" x14ac:dyDescent="0.25">
      <c r="A263" s="21"/>
      <c r="B263" s="21"/>
      <c r="C263" s="21"/>
      <c r="D263" s="21"/>
      <c r="E263" s="21"/>
      <c r="F263" s="21"/>
    </row>
    <row r="264" spans="1:6" x14ac:dyDescent="0.25">
      <c r="A264" s="21"/>
      <c r="B264" s="21"/>
      <c r="C264" s="21"/>
      <c r="D264" s="21"/>
      <c r="E264" s="21"/>
      <c r="F264" s="21"/>
    </row>
    <row r="265" spans="1:6" x14ac:dyDescent="0.25">
      <c r="A265" s="21"/>
      <c r="B265" s="21"/>
      <c r="C265" s="21"/>
      <c r="D265" s="21"/>
      <c r="E265" s="21"/>
      <c r="F265" s="21"/>
    </row>
    <row r="266" spans="1:6" x14ac:dyDescent="0.25">
      <c r="A266" s="21"/>
      <c r="B266" s="21"/>
      <c r="C266" s="21"/>
      <c r="D266" s="21"/>
      <c r="E266" s="21"/>
      <c r="F266" s="21"/>
    </row>
    <row r="267" spans="1:6" x14ac:dyDescent="0.25">
      <c r="A267" s="21"/>
      <c r="B267" s="21"/>
      <c r="C267" s="21"/>
      <c r="D267" s="21"/>
      <c r="E267" s="21"/>
      <c r="F267" s="21"/>
    </row>
    <row r="268" spans="1:6" x14ac:dyDescent="0.25">
      <c r="A268" s="21"/>
      <c r="B268" s="21"/>
      <c r="C268" s="21"/>
      <c r="D268" s="21"/>
      <c r="E268" s="21"/>
      <c r="F268" s="21"/>
    </row>
    <row r="269" spans="1:6" x14ac:dyDescent="0.25">
      <c r="A269" s="21"/>
      <c r="B269" s="21"/>
      <c r="C269" s="21"/>
      <c r="D269" s="21"/>
      <c r="E269" s="21"/>
      <c r="F269" s="21"/>
    </row>
    <row r="270" spans="1:6" x14ac:dyDescent="0.25">
      <c r="A270" s="21"/>
      <c r="B270" s="21"/>
      <c r="C270" s="21"/>
      <c r="D270" s="21"/>
      <c r="E270" s="21"/>
      <c r="F270" s="21"/>
    </row>
    <row r="271" spans="1:6" x14ac:dyDescent="0.25">
      <c r="A271" s="21"/>
      <c r="B271" s="21"/>
      <c r="C271" s="21"/>
      <c r="D271" s="21"/>
      <c r="E271" s="21"/>
      <c r="F271" s="21"/>
    </row>
    <row r="272" spans="1:6" x14ac:dyDescent="0.25">
      <c r="A272" s="21"/>
      <c r="B272" s="21"/>
      <c r="C272" s="21"/>
      <c r="D272" s="21"/>
      <c r="E272" s="21"/>
      <c r="F272" s="21"/>
    </row>
    <row r="273" spans="1:6" x14ac:dyDescent="0.25">
      <c r="A273" s="21"/>
      <c r="B273" s="21"/>
      <c r="C273" s="21"/>
      <c r="D273" s="21"/>
      <c r="E273" s="21"/>
      <c r="F273" s="21"/>
    </row>
    <row r="274" spans="1:6" x14ac:dyDescent="0.25">
      <c r="A274" s="21"/>
      <c r="B274" s="21"/>
      <c r="C274" s="21"/>
      <c r="D274" s="21"/>
      <c r="E274" s="21"/>
      <c r="F274" s="21"/>
    </row>
    <row r="275" spans="1:6" x14ac:dyDescent="0.25">
      <c r="A275" s="21"/>
      <c r="B275" s="21"/>
      <c r="C275" s="21"/>
      <c r="D275" s="21"/>
      <c r="E275" s="21"/>
      <c r="F275" s="21"/>
    </row>
    <row r="276" spans="1:6" x14ac:dyDescent="0.25">
      <c r="A276" s="21"/>
      <c r="B276" s="21"/>
      <c r="C276" s="21"/>
      <c r="D276" s="21"/>
      <c r="E276" s="21"/>
      <c r="F276" s="21"/>
    </row>
    <row r="277" spans="1:6" x14ac:dyDescent="0.25">
      <c r="A277" s="21"/>
      <c r="B277" s="21"/>
      <c r="C277" s="21"/>
      <c r="D277" s="21"/>
      <c r="E277" s="21"/>
      <c r="F277" s="21"/>
    </row>
    <row r="278" spans="1:6" x14ac:dyDescent="0.25">
      <c r="A278" s="21"/>
      <c r="B278" s="21"/>
      <c r="C278" s="21"/>
      <c r="D278" s="21"/>
      <c r="E278" s="21"/>
      <c r="F278" s="21"/>
    </row>
    <row r="279" spans="1:6" x14ac:dyDescent="0.25">
      <c r="A279" s="21"/>
      <c r="B279" s="21"/>
      <c r="C279" s="21"/>
      <c r="D279" s="21"/>
      <c r="E279" s="21"/>
      <c r="F279" s="21"/>
    </row>
    <row r="280" spans="1:6" x14ac:dyDescent="0.25">
      <c r="A280" s="21"/>
      <c r="B280" s="21"/>
      <c r="C280" s="21"/>
      <c r="D280" s="21"/>
      <c r="E280" s="21"/>
      <c r="F280" s="21"/>
    </row>
    <row r="281" spans="1:6" x14ac:dyDescent="0.25">
      <c r="A281" s="21"/>
      <c r="B281" s="21"/>
      <c r="C281" s="21"/>
      <c r="D281" s="21"/>
      <c r="E281" s="21"/>
      <c r="F281" s="21"/>
    </row>
    <row r="282" spans="1:6" x14ac:dyDescent="0.25">
      <c r="A282" s="21"/>
      <c r="B282" s="21"/>
      <c r="C282" s="21"/>
      <c r="D282" s="21"/>
      <c r="E282" s="21"/>
      <c r="F282" s="21"/>
    </row>
    <row r="283" spans="1:6" x14ac:dyDescent="0.25">
      <c r="A283" s="21"/>
      <c r="B283" s="21"/>
      <c r="C283" s="21"/>
      <c r="D283" s="21"/>
      <c r="E283" s="21"/>
      <c r="F283" s="21"/>
    </row>
    <row r="284" spans="1:6" x14ac:dyDescent="0.25">
      <c r="A284" s="21"/>
      <c r="B284" s="21"/>
      <c r="C284" s="21"/>
      <c r="D284" s="21"/>
      <c r="E284" s="21"/>
      <c r="F284" s="21"/>
    </row>
    <row r="285" spans="1:6" x14ac:dyDescent="0.25">
      <c r="A285" s="21"/>
      <c r="B285" s="21"/>
      <c r="C285" s="21"/>
      <c r="D285" s="21"/>
      <c r="E285" s="21"/>
      <c r="F285" s="21"/>
    </row>
    <row r="286" spans="1:6" x14ac:dyDescent="0.25">
      <c r="A286" s="21"/>
      <c r="B286" s="21"/>
      <c r="C286" s="21"/>
      <c r="D286" s="21"/>
      <c r="E286" s="21"/>
      <c r="F286" s="21"/>
    </row>
    <row r="287" spans="1:6" x14ac:dyDescent="0.25">
      <c r="A287" s="21"/>
      <c r="B287" s="21"/>
      <c r="C287" s="21"/>
      <c r="D287" s="21"/>
      <c r="E287" s="21"/>
      <c r="F287" s="21"/>
    </row>
    <row r="288" spans="1:6" x14ac:dyDescent="0.25">
      <c r="A288" s="21"/>
      <c r="B288" s="21"/>
      <c r="C288" s="21"/>
      <c r="D288" s="21"/>
      <c r="E288" s="21"/>
      <c r="F288" s="21"/>
    </row>
    <row r="289" spans="1:6" x14ac:dyDescent="0.25">
      <c r="A289" s="21"/>
      <c r="B289" s="21"/>
      <c r="C289" s="21"/>
      <c r="D289" s="21"/>
      <c r="E289" s="21"/>
      <c r="F289" s="21"/>
    </row>
    <row r="290" spans="1:6" x14ac:dyDescent="0.25">
      <c r="A290" s="21"/>
      <c r="B290" s="21"/>
      <c r="C290" s="21"/>
      <c r="D290" s="21"/>
      <c r="E290" s="21"/>
      <c r="F290" s="21"/>
    </row>
    <row r="291" spans="1:6" x14ac:dyDescent="0.25">
      <c r="A291" s="21"/>
      <c r="B291" s="21"/>
      <c r="C291" s="21"/>
      <c r="D291" s="21"/>
      <c r="E291" s="21"/>
      <c r="F291" s="21"/>
    </row>
    <row r="292" spans="1:6" x14ac:dyDescent="0.25">
      <c r="A292" s="21"/>
      <c r="B292" s="21"/>
      <c r="C292" s="21"/>
      <c r="D292" s="21"/>
      <c r="E292" s="21"/>
      <c r="F292" s="21"/>
    </row>
    <row r="293" spans="1:6" x14ac:dyDescent="0.25">
      <c r="A293" s="21"/>
      <c r="B293" s="21"/>
      <c r="C293" s="21"/>
      <c r="D293" s="21"/>
      <c r="E293" s="21"/>
      <c r="F293" s="21"/>
    </row>
    <row r="294" spans="1:6" x14ac:dyDescent="0.25">
      <c r="A294" s="21"/>
      <c r="B294" s="21"/>
      <c r="C294" s="21"/>
      <c r="D294" s="21"/>
      <c r="E294" s="21"/>
      <c r="F294" s="21"/>
    </row>
    <row r="295" spans="1:6" x14ac:dyDescent="0.25">
      <c r="A295" s="21"/>
      <c r="B295" s="21"/>
      <c r="C295" s="21"/>
      <c r="D295" s="21"/>
      <c r="E295" s="21"/>
      <c r="F295" s="21"/>
    </row>
    <row r="296" spans="1:6" x14ac:dyDescent="0.25">
      <c r="A296" s="21"/>
      <c r="B296" s="21"/>
      <c r="C296" s="21"/>
      <c r="D296" s="21"/>
      <c r="E296" s="21"/>
      <c r="F296" s="21"/>
    </row>
    <row r="297" spans="1:6" x14ac:dyDescent="0.25">
      <c r="A297" s="21"/>
      <c r="B297" s="21"/>
      <c r="C297" s="21"/>
      <c r="D297" s="21"/>
      <c r="E297" s="21"/>
      <c r="F297" s="21"/>
    </row>
    <row r="298" spans="1:6" x14ac:dyDescent="0.25">
      <c r="A298" s="21"/>
      <c r="B298" s="21"/>
      <c r="C298" s="21"/>
      <c r="D298" s="21"/>
      <c r="E298" s="21"/>
      <c r="F298" s="21"/>
    </row>
    <row r="299" spans="1:6" x14ac:dyDescent="0.25">
      <c r="A299" s="21"/>
      <c r="B299" s="21"/>
      <c r="C299" s="21"/>
      <c r="D299" s="21"/>
      <c r="E299" s="21"/>
      <c r="F299" s="21"/>
    </row>
    <row r="300" spans="1:6" x14ac:dyDescent="0.25">
      <c r="A300" s="21"/>
      <c r="B300" s="21"/>
      <c r="C300" s="21"/>
      <c r="D300" s="21"/>
      <c r="E300" s="21"/>
      <c r="F300" s="21"/>
    </row>
    <row r="301" spans="1:6" x14ac:dyDescent="0.25">
      <c r="A301" s="21"/>
      <c r="B301" s="21"/>
      <c r="C301" s="21"/>
      <c r="D301" s="21"/>
      <c r="E301" s="21"/>
      <c r="F301" s="21"/>
    </row>
    <row r="302" spans="1:6" x14ac:dyDescent="0.25">
      <c r="A302" s="21"/>
      <c r="B302" s="21"/>
      <c r="C302" s="21"/>
      <c r="D302" s="21"/>
      <c r="E302" s="21"/>
      <c r="F302" s="21"/>
    </row>
    <row r="303" spans="1:6" x14ac:dyDescent="0.25">
      <c r="A303" s="21"/>
      <c r="B303" s="21"/>
      <c r="C303" s="21"/>
      <c r="D303" s="21"/>
      <c r="E303" s="21"/>
      <c r="F303" s="21"/>
    </row>
    <row r="304" spans="1:6" x14ac:dyDescent="0.25">
      <c r="A304" s="21"/>
      <c r="B304" s="21"/>
      <c r="C304" s="21"/>
      <c r="D304" s="21"/>
      <c r="E304" s="21"/>
      <c r="F304" s="21"/>
    </row>
    <row r="305" spans="1:6" x14ac:dyDescent="0.25">
      <c r="A305" s="21"/>
      <c r="B305" s="21"/>
      <c r="C305" s="21"/>
      <c r="D305" s="21"/>
      <c r="E305" s="21"/>
      <c r="F305" s="21"/>
    </row>
    <row r="306" spans="1:6" x14ac:dyDescent="0.25">
      <c r="A306" s="21"/>
      <c r="B306" s="21"/>
      <c r="C306" s="21"/>
      <c r="D306" s="21"/>
      <c r="E306" s="21"/>
      <c r="F306" s="21"/>
    </row>
    <row r="307" spans="1:6" x14ac:dyDescent="0.25">
      <c r="A307" s="21"/>
      <c r="B307" s="21"/>
      <c r="C307" s="21"/>
      <c r="D307" s="21"/>
      <c r="E307" s="21"/>
      <c r="F307" s="21"/>
    </row>
    <row r="308" spans="1:6" x14ac:dyDescent="0.25">
      <c r="A308" s="21"/>
      <c r="B308" s="21"/>
      <c r="C308" s="21"/>
      <c r="D308" s="21"/>
      <c r="E308" s="21"/>
      <c r="F308" s="21"/>
    </row>
    <row r="309" spans="1:6" x14ac:dyDescent="0.25">
      <c r="A309" s="21"/>
      <c r="B309" s="21"/>
      <c r="C309" s="21"/>
      <c r="D309" s="21"/>
      <c r="E309" s="21"/>
      <c r="F309" s="21"/>
    </row>
    <row r="310" spans="1:6" x14ac:dyDescent="0.25">
      <c r="A310" s="21"/>
      <c r="B310" s="21"/>
      <c r="C310" s="21"/>
      <c r="D310" s="21"/>
      <c r="E310" s="21"/>
      <c r="F310" s="21"/>
    </row>
    <row r="311" spans="1:6" x14ac:dyDescent="0.25">
      <c r="A311" s="21"/>
      <c r="B311" s="21"/>
      <c r="C311" s="21"/>
      <c r="D311" s="21"/>
      <c r="E311" s="21"/>
      <c r="F311" s="21"/>
    </row>
    <row r="312" spans="1:6" x14ac:dyDescent="0.25">
      <c r="A312" s="21"/>
      <c r="B312" s="21"/>
      <c r="C312" s="21"/>
      <c r="D312" s="21"/>
      <c r="E312" s="21"/>
      <c r="F312" s="21"/>
    </row>
    <row r="313" spans="1:6" x14ac:dyDescent="0.25">
      <c r="A313" s="21"/>
      <c r="B313" s="21"/>
      <c r="C313" s="21"/>
      <c r="D313" s="21"/>
      <c r="E313" s="21"/>
      <c r="F313" s="21"/>
    </row>
    <row r="314" spans="1:6" x14ac:dyDescent="0.25">
      <c r="A314" s="21"/>
      <c r="B314" s="21"/>
      <c r="C314" s="21"/>
      <c r="D314" s="21"/>
      <c r="E314" s="21"/>
      <c r="F314" s="21"/>
    </row>
    <row r="315" spans="1:6" x14ac:dyDescent="0.25">
      <c r="A315" s="21"/>
      <c r="B315" s="21"/>
      <c r="C315" s="21"/>
      <c r="D315" s="21"/>
      <c r="E315" s="21"/>
      <c r="F315" s="21"/>
    </row>
    <row r="316" spans="1:6" x14ac:dyDescent="0.25">
      <c r="A316" s="21"/>
      <c r="B316" s="21"/>
      <c r="C316" s="21"/>
      <c r="D316" s="21"/>
      <c r="E316" s="21"/>
      <c r="F316" s="21"/>
    </row>
    <row r="317" spans="1:6" x14ac:dyDescent="0.25">
      <c r="A317" s="21"/>
      <c r="B317" s="21"/>
      <c r="C317" s="21"/>
      <c r="D317" s="21"/>
      <c r="E317" s="21"/>
      <c r="F317" s="21"/>
    </row>
    <row r="318" spans="1:6" x14ac:dyDescent="0.25">
      <c r="A318" s="21"/>
      <c r="B318" s="21"/>
      <c r="C318" s="21"/>
      <c r="D318" s="21"/>
      <c r="E318" s="21"/>
      <c r="F318" s="21"/>
    </row>
    <row r="319" spans="1:6" x14ac:dyDescent="0.25">
      <c r="A319" s="21"/>
      <c r="B319" s="21"/>
      <c r="C319" s="21"/>
      <c r="D319" s="21"/>
      <c r="E319" s="21"/>
      <c r="F319" s="21"/>
    </row>
    <row r="320" spans="1:6" x14ac:dyDescent="0.25">
      <c r="A320" s="21"/>
      <c r="B320" s="21"/>
      <c r="C320" s="21"/>
      <c r="D320" s="21"/>
      <c r="E320" s="21"/>
      <c r="F320" s="21"/>
    </row>
    <row r="321" spans="1:6" x14ac:dyDescent="0.25">
      <c r="A321" s="21"/>
      <c r="B321" s="21"/>
      <c r="C321" s="21"/>
      <c r="D321" s="21"/>
      <c r="E321" s="21"/>
      <c r="F321" s="21"/>
    </row>
    <row r="322" spans="1:6" x14ac:dyDescent="0.25">
      <c r="A322" s="21"/>
      <c r="B322" s="21"/>
      <c r="C322" s="21"/>
      <c r="D322" s="21"/>
      <c r="E322" s="21"/>
      <c r="F322" s="21"/>
    </row>
    <row r="323" spans="1:6" x14ac:dyDescent="0.25">
      <c r="A323" s="21"/>
      <c r="B323" s="21"/>
      <c r="C323" s="21"/>
      <c r="D323" s="21"/>
      <c r="E323" s="21"/>
      <c r="F323" s="21"/>
    </row>
    <row r="324" spans="1:6" x14ac:dyDescent="0.25">
      <c r="A324" s="21"/>
      <c r="B324" s="21"/>
      <c r="C324" s="21"/>
      <c r="D324" s="21"/>
      <c r="E324" s="21"/>
      <c r="F324" s="21"/>
    </row>
    <row r="325" spans="1:6" x14ac:dyDescent="0.25">
      <c r="A325" s="21"/>
      <c r="B325" s="21"/>
      <c r="C325" s="21"/>
      <c r="D325" s="21"/>
      <c r="E325" s="21"/>
      <c r="F325" s="21"/>
    </row>
    <row r="326" spans="1:6" x14ac:dyDescent="0.25">
      <c r="A326" s="21"/>
      <c r="B326" s="21"/>
      <c r="C326" s="21"/>
      <c r="D326" s="21"/>
      <c r="E326" s="21"/>
      <c r="F326" s="21"/>
    </row>
    <row r="327" spans="1:6" x14ac:dyDescent="0.25">
      <c r="A327" s="21"/>
      <c r="B327" s="21"/>
      <c r="C327" s="21"/>
      <c r="D327" s="21"/>
      <c r="E327" s="21"/>
      <c r="F327" s="21"/>
    </row>
    <row r="328" spans="1:6" x14ac:dyDescent="0.25">
      <c r="A328" s="21"/>
      <c r="B328" s="21"/>
      <c r="C328" s="21"/>
      <c r="D328" s="21"/>
      <c r="E328" s="21"/>
      <c r="F328" s="21"/>
    </row>
    <row r="329" spans="1:6" x14ac:dyDescent="0.25">
      <c r="A329" s="21"/>
      <c r="B329" s="21"/>
      <c r="C329" s="21"/>
      <c r="D329" s="21"/>
      <c r="E329" s="21"/>
      <c r="F329" s="21"/>
    </row>
    <row r="330" spans="1:6" x14ac:dyDescent="0.25">
      <c r="A330" s="21"/>
      <c r="B330" s="21"/>
      <c r="C330" s="21"/>
      <c r="D330" s="21"/>
      <c r="E330" s="21"/>
      <c r="F330" s="21"/>
    </row>
    <row r="331" spans="1:6" x14ac:dyDescent="0.25">
      <c r="A331" s="21"/>
      <c r="B331" s="21"/>
      <c r="C331" s="21"/>
      <c r="D331" s="21"/>
      <c r="E331" s="21"/>
      <c r="F331" s="21"/>
    </row>
    <row r="332" spans="1:6" x14ac:dyDescent="0.25">
      <c r="A332" s="21"/>
      <c r="B332" s="21"/>
      <c r="C332" s="21"/>
      <c r="D332" s="21"/>
      <c r="E332" s="21"/>
      <c r="F332" s="21"/>
    </row>
    <row r="333" spans="1:6" x14ac:dyDescent="0.25">
      <c r="A333" s="21"/>
      <c r="B333" s="21"/>
      <c r="C333" s="21"/>
      <c r="D333" s="21"/>
      <c r="E333" s="21"/>
      <c r="F333" s="21"/>
    </row>
    <row r="334" spans="1:6" x14ac:dyDescent="0.25">
      <c r="A334" s="21"/>
      <c r="B334" s="21"/>
      <c r="C334" s="21"/>
      <c r="D334" s="21"/>
      <c r="E334" s="21"/>
      <c r="F334" s="21"/>
    </row>
    <row r="335" spans="1:6" x14ac:dyDescent="0.25">
      <c r="A335" s="21"/>
      <c r="B335" s="21"/>
      <c r="C335" s="21"/>
      <c r="D335" s="21"/>
      <c r="E335" s="21"/>
      <c r="F335" s="21"/>
    </row>
    <row r="336" spans="1:6" x14ac:dyDescent="0.25">
      <c r="A336" s="21"/>
      <c r="B336" s="21"/>
      <c r="C336" s="21"/>
      <c r="D336" s="21"/>
      <c r="E336" s="21"/>
      <c r="F336" s="21"/>
    </row>
    <row r="337" spans="1:6" x14ac:dyDescent="0.25">
      <c r="A337" s="21"/>
      <c r="B337" s="21"/>
      <c r="C337" s="21"/>
      <c r="D337" s="21"/>
      <c r="E337" s="21"/>
      <c r="F337" s="21"/>
    </row>
    <row r="338" spans="1:6" x14ac:dyDescent="0.25">
      <c r="A338" s="21"/>
      <c r="B338" s="21"/>
      <c r="C338" s="21"/>
      <c r="D338" s="21"/>
      <c r="E338" s="21"/>
      <c r="F338" s="21"/>
    </row>
    <row r="339" spans="1:6" x14ac:dyDescent="0.25">
      <c r="A339" s="21"/>
      <c r="B339" s="21"/>
      <c r="C339" s="21"/>
      <c r="D339" s="21"/>
      <c r="E339" s="21"/>
      <c r="F339" s="21"/>
    </row>
    <row r="340" spans="1:6" x14ac:dyDescent="0.25">
      <c r="A340" s="21"/>
      <c r="B340" s="21"/>
      <c r="C340" s="21"/>
      <c r="D340" s="21"/>
      <c r="E340" s="21"/>
      <c r="F340" s="21"/>
    </row>
    <row r="341" spans="1:6" x14ac:dyDescent="0.25">
      <c r="A341" s="21"/>
      <c r="B341" s="21"/>
      <c r="C341" s="21"/>
      <c r="D341" s="21"/>
      <c r="E341" s="21"/>
      <c r="F341" s="21"/>
    </row>
    <row r="342" spans="1:6" x14ac:dyDescent="0.25">
      <c r="A342" s="21"/>
      <c r="B342" s="21"/>
      <c r="C342" s="21"/>
      <c r="D342" s="21"/>
      <c r="E342" s="21"/>
      <c r="F342" s="21"/>
    </row>
    <row r="343" spans="1:6" x14ac:dyDescent="0.25">
      <c r="A343" s="21"/>
      <c r="B343" s="21"/>
      <c r="C343" s="21"/>
      <c r="D343" s="21"/>
      <c r="E343" s="21"/>
      <c r="F343" s="21"/>
    </row>
    <row r="344" spans="1:6" x14ac:dyDescent="0.25">
      <c r="A344" s="21"/>
      <c r="B344" s="21"/>
      <c r="C344" s="21"/>
      <c r="D344" s="21"/>
      <c r="E344" s="21"/>
      <c r="F344" s="21"/>
    </row>
    <row r="345" spans="1:6" x14ac:dyDescent="0.25">
      <c r="A345" s="21"/>
      <c r="B345" s="21"/>
      <c r="C345" s="21"/>
      <c r="D345" s="21"/>
      <c r="E345" s="21"/>
      <c r="F345" s="21"/>
    </row>
    <row r="346" spans="1:6" x14ac:dyDescent="0.25">
      <c r="A346" s="21"/>
      <c r="B346" s="21"/>
      <c r="C346" s="21"/>
      <c r="D346" s="21"/>
      <c r="E346" s="21"/>
      <c r="F346" s="21"/>
    </row>
    <row r="347" spans="1:6" x14ac:dyDescent="0.25">
      <c r="A347" s="21"/>
      <c r="B347" s="21"/>
      <c r="C347" s="21"/>
      <c r="D347" s="21"/>
      <c r="E347" s="21"/>
      <c r="F347" s="21"/>
    </row>
    <row r="348" spans="1:6" x14ac:dyDescent="0.25">
      <c r="A348" s="21"/>
      <c r="B348" s="21"/>
      <c r="C348" s="21"/>
      <c r="D348" s="21"/>
      <c r="E348" s="21"/>
      <c r="F348" s="21"/>
    </row>
    <row r="349" spans="1:6" x14ac:dyDescent="0.25">
      <c r="A349" s="21"/>
      <c r="B349" s="21"/>
      <c r="C349" s="21"/>
      <c r="D349" s="21"/>
      <c r="E349" s="21"/>
      <c r="F349" s="21"/>
    </row>
    <row r="350" spans="1:6" x14ac:dyDescent="0.25">
      <c r="A350" s="21"/>
      <c r="B350" s="21"/>
      <c r="C350" s="21"/>
      <c r="D350" s="21"/>
      <c r="E350" s="21"/>
      <c r="F350" s="21"/>
    </row>
    <row r="351" spans="1:6" x14ac:dyDescent="0.25">
      <c r="A351" s="21"/>
      <c r="B351" s="21"/>
      <c r="C351" s="21"/>
      <c r="D351" s="21"/>
      <c r="E351" s="21"/>
      <c r="F351" s="21"/>
    </row>
    <row r="352" spans="1:6" x14ac:dyDescent="0.25">
      <c r="A352" s="21"/>
      <c r="B352" s="21"/>
      <c r="C352" s="21"/>
      <c r="D352" s="21"/>
      <c r="E352" s="21"/>
      <c r="F352" s="21"/>
    </row>
    <row r="353" spans="1:6" x14ac:dyDescent="0.25">
      <c r="A353" s="21"/>
      <c r="B353" s="21"/>
      <c r="C353" s="21"/>
      <c r="D353" s="21"/>
      <c r="E353" s="21"/>
      <c r="F353" s="21"/>
    </row>
    <row r="354" spans="1:6" x14ac:dyDescent="0.25">
      <c r="A354" s="21"/>
      <c r="B354" s="21"/>
      <c r="C354" s="21"/>
      <c r="D354" s="21"/>
      <c r="E354" s="21"/>
      <c r="F354" s="21"/>
    </row>
    <row r="355" spans="1:6" x14ac:dyDescent="0.25">
      <c r="A355" s="21"/>
      <c r="B355" s="21"/>
      <c r="C355" s="21"/>
      <c r="D355" s="21"/>
      <c r="E355" s="21"/>
      <c r="F355" s="21"/>
    </row>
    <row r="356" spans="1:6" x14ac:dyDescent="0.25">
      <c r="A356" s="21"/>
      <c r="B356" s="21"/>
      <c r="C356" s="21"/>
      <c r="D356" s="21"/>
      <c r="E356" s="21"/>
      <c r="F356" s="21"/>
    </row>
    <row r="357" spans="1:6" x14ac:dyDescent="0.25">
      <c r="A357" s="21"/>
      <c r="B357" s="21"/>
      <c r="C357" s="21"/>
      <c r="D357" s="21"/>
      <c r="E357" s="21"/>
      <c r="F357" s="21"/>
    </row>
    <row r="358" spans="1:6" x14ac:dyDescent="0.25">
      <c r="A358" s="21"/>
      <c r="B358" s="21"/>
      <c r="C358" s="21"/>
      <c r="D358" s="21"/>
      <c r="E358" s="21"/>
      <c r="F358" s="21"/>
    </row>
    <row r="359" spans="1:6" x14ac:dyDescent="0.25">
      <c r="A359" s="21"/>
      <c r="B359" s="21"/>
      <c r="C359" s="21"/>
      <c r="D359" s="21"/>
      <c r="E359" s="21"/>
      <c r="F359" s="21"/>
    </row>
    <row r="360" spans="1:6" x14ac:dyDescent="0.25">
      <c r="A360" s="21"/>
      <c r="B360" s="21"/>
      <c r="C360" s="21"/>
      <c r="D360" s="21"/>
      <c r="E360" s="21"/>
      <c r="F360" s="21"/>
    </row>
    <row r="361" spans="1:6" x14ac:dyDescent="0.25">
      <c r="A361" s="21"/>
      <c r="B361" s="21"/>
      <c r="C361" s="21"/>
      <c r="D361" s="21"/>
      <c r="E361" s="21"/>
      <c r="F361" s="21"/>
    </row>
    <row r="362" spans="1:6" x14ac:dyDescent="0.25">
      <c r="A362" s="21"/>
      <c r="B362" s="21"/>
      <c r="C362" s="21"/>
      <c r="D362" s="21"/>
      <c r="E362" s="21"/>
      <c r="F362" s="21"/>
    </row>
    <row r="363" spans="1:6" x14ac:dyDescent="0.25">
      <c r="A363" s="21"/>
      <c r="B363" s="21"/>
      <c r="C363" s="21"/>
      <c r="D363" s="21"/>
      <c r="E363" s="21"/>
      <c r="F363" s="21"/>
    </row>
    <row r="364" spans="1:6" x14ac:dyDescent="0.25">
      <c r="A364" s="21"/>
      <c r="B364" s="21"/>
      <c r="C364" s="21"/>
      <c r="D364" s="21"/>
      <c r="E364" s="21"/>
      <c r="F364" s="21"/>
    </row>
    <row r="365" spans="1:6" x14ac:dyDescent="0.25">
      <c r="A365" s="21"/>
      <c r="B365" s="21"/>
      <c r="C365" s="21"/>
      <c r="D365" s="21"/>
      <c r="E365" s="21"/>
      <c r="F365" s="21"/>
    </row>
    <row r="366" spans="1:6" x14ac:dyDescent="0.25">
      <c r="A366" s="21"/>
      <c r="B366" s="21"/>
      <c r="C366" s="21"/>
      <c r="D366" s="21"/>
      <c r="E366" s="21"/>
      <c r="F366" s="21"/>
    </row>
    <row r="367" spans="1:6" x14ac:dyDescent="0.25">
      <c r="A367" s="21"/>
      <c r="B367" s="21"/>
      <c r="C367" s="21"/>
      <c r="D367" s="21"/>
      <c r="E367" s="21"/>
      <c r="F367" s="21"/>
    </row>
    <row r="368" spans="1:6" x14ac:dyDescent="0.25">
      <c r="A368" s="21"/>
      <c r="B368" s="21"/>
      <c r="C368" s="21"/>
      <c r="D368" s="21"/>
      <c r="E368" s="21"/>
      <c r="F368" s="21"/>
    </row>
    <row r="369" spans="1:6" x14ac:dyDescent="0.25">
      <c r="A369" s="21"/>
      <c r="B369" s="21"/>
      <c r="C369" s="21"/>
      <c r="D369" s="21"/>
      <c r="E369" s="21"/>
      <c r="F369" s="21"/>
    </row>
    <row r="370" spans="1:6" x14ac:dyDescent="0.25">
      <c r="A370" s="21"/>
      <c r="B370" s="21"/>
      <c r="C370" s="21"/>
      <c r="D370" s="21"/>
      <c r="E370" s="21"/>
      <c r="F370" s="21"/>
    </row>
    <row r="371" spans="1:6" x14ac:dyDescent="0.25">
      <c r="A371" s="21"/>
      <c r="B371" s="21"/>
      <c r="C371" s="21"/>
      <c r="D371" s="21"/>
      <c r="E371" s="21"/>
      <c r="F371" s="21"/>
    </row>
    <row r="372" spans="1:6" x14ac:dyDescent="0.25">
      <c r="A372" s="21"/>
      <c r="B372" s="21"/>
      <c r="C372" s="21"/>
      <c r="D372" s="21"/>
      <c r="E372" s="21"/>
      <c r="F372" s="21"/>
    </row>
    <row r="373" spans="1:6" x14ac:dyDescent="0.25">
      <c r="A373" s="21"/>
      <c r="B373" s="21"/>
      <c r="C373" s="21"/>
      <c r="D373" s="21"/>
      <c r="E373" s="21"/>
      <c r="F373" s="21"/>
    </row>
    <row r="374" spans="1:6" x14ac:dyDescent="0.25">
      <c r="A374" s="21"/>
      <c r="B374" s="21"/>
      <c r="C374" s="21"/>
      <c r="D374" s="21"/>
      <c r="E374" s="21"/>
      <c r="F374" s="21"/>
    </row>
    <row r="375" spans="1:6" x14ac:dyDescent="0.25">
      <c r="A375" s="21"/>
      <c r="B375" s="21"/>
      <c r="C375" s="21"/>
      <c r="D375" s="21"/>
      <c r="E375" s="21"/>
      <c r="F375" s="21"/>
    </row>
    <row r="376" spans="1:6" x14ac:dyDescent="0.25">
      <c r="A376" s="21"/>
      <c r="B376" s="21"/>
      <c r="C376" s="21"/>
      <c r="D376" s="21"/>
      <c r="E376" s="21"/>
      <c r="F376" s="21"/>
    </row>
    <row r="377" spans="1:6" x14ac:dyDescent="0.25">
      <c r="A377" s="21"/>
      <c r="B377" s="21"/>
      <c r="C377" s="21"/>
      <c r="D377" s="21"/>
      <c r="E377" s="21"/>
      <c r="F377" s="21"/>
    </row>
    <row r="378" spans="1:6" x14ac:dyDescent="0.25">
      <c r="A378" s="21"/>
      <c r="B378" s="21"/>
      <c r="C378" s="21"/>
      <c r="D378" s="21"/>
      <c r="E378" s="21"/>
      <c r="F378" s="21"/>
    </row>
    <row r="379" spans="1:6" x14ac:dyDescent="0.25">
      <c r="A379" s="21"/>
      <c r="B379" s="21"/>
      <c r="C379" s="21"/>
      <c r="D379" s="21"/>
      <c r="E379" s="21"/>
      <c r="F379" s="21"/>
    </row>
    <row r="380" spans="1:6" x14ac:dyDescent="0.25">
      <c r="A380" s="21"/>
      <c r="B380" s="21"/>
      <c r="C380" s="21"/>
      <c r="D380" s="21"/>
      <c r="E380" s="21"/>
      <c r="F380" s="21"/>
    </row>
    <row r="381" spans="1:6" x14ac:dyDescent="0.25">
      <c r="A381" s="21"/>
      <c r="B381" s="21"/>
      <c r="C381" s="21"/>
      <c r="D381" s="21"/>
      <c r="E381" s="21"/>
      <c r="F381" s="21"/>
    </row>
    <row r="382" spans="1:6" x14ac:dyDescent="0.25">
      <c r="A382" s="21"/>
      <c r="B382" s="21"/>
      <c r="C382" s="21"/>
      <c r="D382" s="21"/>
      <c r="E382" s="21"/>
      <c r="F382" s="21"/>
    </row>
    <row r="383" spans="1:6" x14ac:dyDescent="0.25">
      <c r="A383" s="21"/>
      <c r="B383" s="21"/>
      <c r="C383" s="21"/>
      <c r="D383" s="21"/>
      <c r="E383" s="21"/>
      <c r="F383" s="21"/>
    </row>
    <row r="384" spans="1:6" x14ac:dyDescent="0.25">
      <c r="A384" s="21"/>
      <c r="B384" s="21"/>
      <c r="C384" s="21"/>
      <c r="D384" s="21"/>
      <c r="E384" s="21"/>
      <c r="F384" s="21"/>
    </row>
    <row r="385" spans="1:6" x14ac:dyDescent="0.25">
      <c r="A385" s="21"/>
      <c r="B385" s="21"/>
      <c r="C385" s="21"/>
      <c r="D385" s="21"/>
      <c r="E385" s="21"/>
      <c r="F385" s="21"/>
    </row>
    <row r="386" spans="1:6" x14ac:dyDescent="0.25">
      <c r="A386" s="21"/>
      <c r="B386" s="21"/>
      <c r="C386" s="21"/>
      <c r="D386" s="21"/>
      <c r="E386" s="21"/>
      <c r="F386" s="21"/>
    </row>
    <row r="387" spans="1:6" x14ac:dyDescent="0.25">
      <c r="A387" s="21"/>
      <c r="B387" s="21"/>
      <c r="C387" s="21"/>
      <c r="D387" s="21"/>
      <c r="E387" s="21"/>
      <c r="F387" s="21"/>
    </row>
    <row r="388" spans="1:6" x14ac:dyDescent="0.25">
      <c r="A388" s="21"/>
      <c r="B388" s="21"/>
      <c r="C388" s="21"/>
      <c r="D388" s="21"/>
      <c r="E388" s="21"/>
      <c r="F388" s="21"/>
    </row>
    <row r="389" spans="1:6" x14ac:dyDescent="0.25">
      <c r="A389" s="21"/>
      <c r="B389" s="21"/>
      <c r="C389" s="21"/>
      <c r="D389" s="21"/>
      <c r="E389" s="21"/>
      <c r="F389" s="21"/>
    </row>
    <row r="390" spans="1:6" x14ac:dyDescent="0.25">
      <c r="A390" s="21"/>
      <c r="B390" s="21"/>
      <c r="C390" s="21"/>
      <c r="D390" s="21"/>
      <c r="E390" s="21"/>
      <c r="F390" s="21"/>
    </row>
    <row r="391" spans="1:6" x14ac:dyDescent="0.25">
      <c r="A391" s="21"/>
      <c r="B391" s="21"/>
      <c r="C391" s="21"/>
      <c r="D391" s="21"/>
      <c r="E391" s="21"/>
      <c r="F391" s="21"/>
    </row>
    <row r="392" spans="1:6" x14ac:dyDescent="0.25">
      <c r="A392" s="21"/>
      <c r="B392" s="21"/>
      <c r="C392" s="21"/>
      <c r="D392" s="21"/>
      <c r="E392" s="21"/>
      <c r="F392" s="21"/>
    </row>
    <row r="393" spans="1:6" x14ac:dyDescent="0.25">
      <c r="A393" s="21"/>
      <c r="B393" s="21"/>
      <c r="C393" s="21"/>
      <c r="D393" s="21"/>
      <c r="E393" s="21"/>
      <c r="F393" s="21"/>
    </row>
    <row r="394" spans="1:6" x14ac:dyDescent="0.25">
      <c r="A394" s="21"/>
      <c r="B394" s="21"/>
      <c r="C394" s="21"/>
      <c r="D394" s="21"/>
      <c r="E394" s="21"/>
      <c r="F394" s="21"/>
    </row>
    <row r="395" spans="1:6" x14ac:dyDescent="0.25">
      <c r="A395" s="21"/>
      <c r="B395" s="21"/>
      <c r="C395" s="21"/>
      <c r="D395" s="21"/>
      <c r="E395" s="21"/>
      <c r="F395" s="21"/>
    </row>
    <row r="396" spans="1:6" x14ac:dyDescent="0.25">
      <c r="A396" s="21"/>
      <c r="B396" s="21"/>
      <c r="C396" s="21"/>
      <c r="D396" s="21"/>
      <c r="E396" s="21"/>
      <c r="F396" s="21"/>
    </row>
    <row r="397" spans="1:6" x14ac:dyDescent="0.25">
      <c r="A397" s="21"/>
      <c r="B397" s="21"/>
      <c r="C397" s="21"/>
      <c r="D397" s="21"/>
      <c r="E397" s="21"/>
      <c r="F397" s="21"/>
    </row>
    <row r="398" spans="1:6" x14ac:dyDescent="0.25">
      <c r="A398" s="21"/>
      <c r="B398" s="21"/>
      <c r="C398" s="21"/>
      <c r="D398" s="21"/>
      <c r="E398" s="21"/>
      <c r="F398" s="21"/>
    </row>
    <row r="399" spans="1:6" x14ac:dyDescent="0.25">
      <c r="A399" s="21"/>
      <c r="B399" s="21"/>
      <c r="C399" s="21"/>
      <c r="D399" s="21"/>
      <c r="E399" s="21"/>
      <c r="F399" s="21"/>
    </row>
    <row r="400" spans="1:6" x14ac:dyDescent="0.25">
      <c r="A400" s="21"/>
      <c r="B400" s="21"/>
      <c r="C400" s="21"/>
      <c r="D400" s="21"/>
      <c r="E400" s="21"/>
      <c r="F400" s="21"/>
    </row>
    <row r="401" spans="1:6" x14ac:dyDescent="0.25">
      <c r="A401" s="21"/>
      <c r="B401" s="21"/>
      <c r="C401" s="21"/>
      <c r="D401" s="21"/>
      <c r="E401" s="21"/>
      <c r="F401" s="21"/>
    </row>
    <row r="402" spans="1:6" x14ac:dyDescent="0.25">
      <c r="A402" s="21"/>
      <c r="B402" s="21"/>
      <c r="C402" s="21"/>
      <c r="D402" s="21"/>
      <c r="E402" s="21"/>
      <c r="F402" s="21"/>
    </row>
    <row r="403" spans="1:6" x14ac:dyDescent="0.25">
      <c r="A403" s="21"/>
      <c r="B403" s="21"/>
      <c r="C403" s="21"/>
      <c r="D403" s="21"/>
      <c r="E403" s="21"/>
      <c r="F403" s="21"/>
    </row>
    <row r="404" spans="1:6" x14ac:dyDescent="0.25">
      <c r="A404" s="21"/>
      <c r="B404" s="21"/>
      <c r="C404" s="21"/>
      <c r="D404" s="21"/>
      <c r="E404" s="21"/>
      <c r="F404" s="21"/>
    </row>
    <row r="405" spans="1:6" x14ac:dyDescent="0.25">
      <c r="A405" s="21"/>
      <c r="B405" s="21"/>
      <c r="C405" s="21"/>
      <c r="D405" s="21"/>
      <c r="E405" s="21"/>
      <c r="F405" s="21"/>
    </row>
    <row r="406" spans="1:6" x14ac:dyDescent="0.25">
      <c r="A406" s="21"/>
      <c r="B406" s="21"/>
      <c r="C406" s="21"/>
      <c r="D406" s="21"/>
      <c r="E406" s="21"/>
      <c r="F406" s="21"/>
    </row>
    <row r="407" spans="1:6" x14ac:dyDescent="0.25">
      <c r="A407" s="21"/>
      <c r="B407" s="21"/>
      <c r="C407" s="21"/>
      <c r="D407" s="21"/>
      <c r="E407" s="21"/>
      <c r="F407" s="21"/>
    </row>
    <row r="408" spans="1:6" x14ac:dyDescent="0.25">
      <c r="A408" s="21"/>
      <c r="B408" s="21"/>
      <c r="C408" s="21"/>
      <c r="D408" s="21"/>
      <c r="E408" s="21"/>
      <c r="F408" s="21"/>
    </row>
    <row r="409" spans="1:6" x14ac:dyDescent="0.25">
      <c r="A409" s="21"/>
      <c r="B409" s="21"/>
      <c r="C409" s="21"/>
      <c r="D409" s="21"/>
      <c r="E409" s="21"/>
      <c r="F409" s="21"/>
    </row>
    <row r="410" spans="1:6" x14ac:dyDescent="0.25">
      <c r="A410" s="21"/>
      <c r="B410" s="21"/>
      <c r="C410" s="21"/>
      <c r="D410" s="21"/>
      <c r="E410" s="21"/>
      <c r="F410" s="21"/>
    </row>
    <row r="411" spans="1:6" x14ac:dyDescent="0.25">
      <c r="A411" s="21"/>
      <c r="B411" s="21"/>
      <c r="C411" s="21"/>
      <c r="D411" s="21"/>
      <c r="E411" s="21"/>
      <c r="F411" s="21"/>
    </row>
    <row r="412" spans="1:6" x14ac:dyDescent="0.25">
      <c r="A412" s="21"/>
      <c r="B412" s="21"/>
      <c r="C412" s="21"/>
      <c r="D412" s="21"/>
      <c r="E412" s="21"/>
      <c r="F412" s="21"/>
    </row>
    <row r="413" spans="1:6" x14ac:dyDescent="0.25">
      <c r="A413" s="21"/>
      <c r="B413" s="21"/>
      <c r="C413" s="21"/>
      <c r="D413" s="21"/>
      <c r="E413" s="21"/>
      <c r="F413" s="21"/>
    </row>
    <row r="414" spans="1:6" x14ac:dyDescent="0.25">
      <c r="A414" s="21"/>
      <c r="B414" s="21"/>
      <c r="C414" s="21"/>
      <c r="D414" s="21"/>
      <c r="E414" s="21"/>
      <c r="F414" s="21"/>
    </row>
    <row r="415" spans="1:6" x14ac:dyDescent="0.25">
      <c r="A415" s="21"/>
      <c r="B415" s="21"/>
      <c r="C415" s="21"/>
      <c r="D415" s="21"/>
      <c r="E415" s="21"/>
      <c r="F415" s="21"/>
    </row>
    <row r="416" spans="1:6" x14ac:dyDescent="0.25">
      <c r="A416" s="21"/>
      <c r="B416" s="21"/>
      <c r="C416" s="21"/>
      <c r="D416" s="21"/>
      <c r="E416" s="21"/>
      <c r="F416" s="21"/>
    </row>
    <row r="417" spans="1:6" x14ac:dyDescent="0.25">
      <c r="A417" s="21"/>
      <c r="B417" s="21"/>
      <c r="C417" s="21"/>
      <c r="D417" s="21"/>
      <c r="E417" s="21"/>
      <c r="F417" s="21"/>
    </row>
    <row r="418" spans="1:6" x14ac:dyDescent="0.25">
      <c r="A418" s="21"/>
      <c r="B418" s="21"/>
      <c r="C418" s="21"/>
      <c r="D418" s="21"/>
      <c r="E418" s="21"/>
      <c r="F418" s="21"/>
    </row>
    <row r="419" spans="1:6" x14ac:dyDescent="0.25">
      <c r="A419" s="21"/>
      <c r="B419" s="21"/>
      <c r="C419" s="21"/>
      <c r="D419" s="21"/>
      <c r="E419" s="21"/>
      <c r="F419" s="21"/>
    </row>
    <row r="420" spans="1:6" x14ac:dyDescent="0.25">
      <c r="A420" s="21"/>
      <c r="B420" s="21"/>
      <c r="C420" s="21"/>
      <c r="D420" s="21"/>
      <c r="E420" s="21"/>
      <c r="F420" s="21"/>
    </row>
    <row r="421" spans="1:6" x14ac:dyDescent="0.25">
      <c r="A421" s="21"/>
      <c r="B421" s="21"/>
      <c r="C421" s="21"/>
      <c r="D421" s="21"/>
      <c r="E421" s="21"/>
      <c r="F421" s="21"/>
    </row>
    <row r="422" spans="1:6" x14ac:dyDescent="0.25">
      <c r="A422" s="21"/>
      <c r="B422" s="21"/>
      <c r="C422" s="21"/>
      <c r="D422" s="21"/>
      <c r="E422" s="21"/>
      <c r="F422" s="21"/>
    </row>
    <row r="423" spans="1:6" x14ac:dyDescent="0.25">
      <c r="A423" s="21"/>
      <c r="B423" s="21"/>
      <c r="C423" s="21"/>
      <c r="D423" s="21"/>
      <c r="E423" s="21"/>
      <c r="F423" s="21"/>
    </row>
    <row r="424" spans="1:6" x14ac:dyDescent="0.25">
      <c r="A424" s="21"/>
      <c r="B424" s="21"/>
      <c r="C424" s="21"/>
      <c r="D424" s="21"/>
      <c r="E424" s="21"/>
      <c r="F424" s="21"/>
    </row>
    <row r="425" spans="1:6" x14ac:dyDescent="0.25">
      <c r="A425" s="21"/>
      <c r="B425" s="21"/>
      <c r="C425" s="21"/>
      <c r="D425" s="21"/>
      <c r="E425" s="21"/>
      <c r="F425" s="21"/>
    </row>
    <row r="426" spans="1:6" x14ac:dyDescent="0.25">
      <c r="A426" s="21"/>
      <c r="B426" s="21"/>
      <c r="C426" s="21"/>
      <c r="D426" s="21"/>
      <c r="E426" s="21"/>
      <c r="F426" s="21"/>
    </row>
    <row r="427" spans="1:6" x14ac:dyDescent="0.25">
      <c r="A427" s="21"/>
      <c r="B427" s="21"/>
      <c r="C427" s="21"/>
      <c r="D427" s="21"/>
      <c r="E427" s="21"/>
      <c r="F427" s="21"/>
    </row>
    <row r="428" spans="1:6" x14ac:dyDescent="0.25">
      <c r="A428" s="21"/>
      <c r="B428" s="21"/>
      <c r="C428" s="21"/>
      <c r="D428" s="21"/>
      <c r="E428" s="21"/>
      <c r="F428" s="21"/>
    </row>
    <row r="429" spans="1:6" x14ac:dyDescent="0.25">
      <c r="A429" s="21"/>
      <c r="B429" s="21"/>
      <c r="C429" s="21"/>
      <c r="D429" s="21"/>
      <c r="E429" s="21"/>
      <c r="F429" s="21"/>
    </row>
    <row r="430" spans="1:6" x14ac:dyDescent="0.25">
      <c r="A430" s="21"/>
      <c r="B430" s="21"/>
      <c r="C430" s="21"/>
      <c r="D430" s="21"/>
      <c r="E430" s="21"/>
      <c r="F430" s="21"/>
    </row>
    <row r="431" spans="1:6" x14ac:dyDescent="0.25">
      <c r="A431" s="21"/>
      <c r="B431" s="21"/>
      <c r="C431" s="21"/>
      <c r="D431" s="21"/>
      <c r="E431" s="21"/>
      <c r="F431" s="21"/>
    </row>
    <row r="432" spans="1:6" x14ac:dyDescent="0.25">
      <c r="A432" s="21"/>
      <c r="B432" s="21"/>
      <c r="C432" s="21"/>
      <c r="D432" s="21"/>
      <c r="E432" s="21"/>
      <c r="F432" s="21"/>
    </row>
    <row r="433" spans="1:6" x14ac:dyDescent="0.25">
      <c r="A433" s="21"/>
      <c r="B433" s="21"/>
      <c r="C433" s="21"/>
      <c r="D433" s="21"/>
      <c r="E433" s="21"/>
      <c r="F433" s="21"/>
    </row>
    <row r="434" spans="1:6" x14ac:dyDescent="0.25">
      <c r="A434" s="21"/>
      <c r="B434" s="21"/>
      <c r="C434" s="21"/>
      <c r="D434" s="21"/>
      <c r="E434" s="21"/>
      <c r="F434" s="21"/>
    </row>
    <row r="435" spans="1:6" x14ac:dyDescent="0.25">
      <c r="A435" s="21"/>
      <c r="B435" s="21"/>
      <c r="C435" s="21"/>
      <c r="D435" s="21"/>
      <c r="E435" s="21"/>
      <c r="F435" s="21"/>
    </row>
    <row r="436" spans="1:6" x14ac:dyDescent="0.25">
      <c r="A436" s="21"/>
      <c r="B436" s="21"/>
      <c r="C436" s="21"/>
      <c r="D436" s="21"/>
      <c r="E436" s="21"/>
      <c r="F436" s="21"/>
    </row>
    <row r="437" spans="1:6" x14ac:dyDescent="0.25">
      <c r="A437" s="21"/>
      <c r="B437" s="21"/>
      <c r="C437" s="21"/>
      <c r="D437" s="21"/>
      <c r="E437" s="21"/>
      <c r="F437" s="21"/>
    </row>
    <row r="438" spans="1:6" x14ac:dyDescent="0.25">
      <c r="A438" s="21"/>
      <c r="B438" s="21"/>
      <c r="C438" s="21"/>
      <c r="D438" s="21"/>
      <c r="E438" s="21"/>
      <c r="F438" s="21"/>
    </row>
    <row r="439" spans="1:6" x14ac:dyDescent="0.25">
      <c r="A439" s="21"/>
      <c r="B439" s="21"/>
      <c r="C439" s="21"/>
      <c r="D439" s="21"/>
      <c r="E439" s="21"/>
      <c r="F439" s="21"/>
    </row>
    <row r="440" spans="1:6" x14ac:dyDescent="0.25">
      <c r="A440" s="21"/>
      <c r="B440" s="21"/>
      <c r="C440" s="21"/>
      <c r="D440" s="21"/>
      <c r="E440" s="21"/>
      <c r="F440" s="21"/>
    </row>
    <row r="441" spans="1:6" x14ac:dyDescent="0.25">
      <c r="A441" s="21"/>
      <c r="B441" s="21"/>
      <c r="C441" s="21"/>
      <c r="D441" s="21"/>
      <c r="E441" s="21"/>
      <c r="F441" s="21"/>
    </row>
    <row r="442" spans="1:6" x14ac:dyDescent="0.25">
      <c r="A442" s="21"/>
      <c r="B442" s="21"/>
      <c r="C442" s="21"/>
      <c r="D442" s="21"/>
      <c r="E442" s="21"/>
      <c r="F442" s="21"/>
    </row>
    <row r="443" spans="1:6" x14ac:dyDescent="0.25">
      <c r="A443" s="21"/>
      <c r="B443" s="21"/>
      <c r="C443" s="21"/>
      <c r="D443" s="21"/>
      <c r="E443" s="21"/>
      <c r="F443" s="21"/>
    </row>
    <row r="444" spans="1:6" x14ac:dyDescent="0.25">
      <c r="A444" s="21"/>
      <c r="B444" s="21"/>
      <c r="C444" s="21"/>
      <c r="D444" s="21"/>
      <c r="E444" s="21"/>
      <c r="F444" s="21"/>
    </row>
    <row r="445" spans="1:6" x14ac:dyDescent="0.25">
      <c r="A445" s="21"/>
      <c r="B445" s="21"/>
      <c r="C445" s="21"/>
      <c r="D445" s="21"/>
      <c r="E445" s="21"/>
      <c r="F445" s="21"/>
    </row>
    <row r="446" spans="1:6" x14ac:dyDescent="0.25">
      <c r="A446" s="21"/>
      <c r="B446" s="21"/>
      <c r="C446" s="21"/>
      <c r="D446" s="21"/>
      <c r="E446" s="21"/>
      <c r="F446" s="21"/>
    </row>
    <row r="447" spans="1:6" x14ac:dyDescent="0.25">
      <c r="A447" s="21"/>
      <c r="B447" s="21"/>
      <c r="C447" s="21"/>
      <c r="D447" s="21"/>
      <c r="E447" s="21"/>
      <c r="F447" s="21"/>
    </row>
    <row r="448" spans="1:6" x14ac:dyDescent="0.25">
      <c r="A448" s="21"/>
      <c r="B448" s="21"/>
      <c r="C448" s="21"/>
      <c r="D448" s="21"/>
      <c r="E448" s="21"/>
      <c r="F448" s="21"/>
    </row>
    <row r="449" spans="1:6" x14ac:dyDescent="0.25">
      <c r="A449" s="21"/>
      <c r="B449" s="21"/>
      <c r="C449" s="21"/>
      <c r="D449" s="21"/>
      <c r="E449" s="21"/>
      <c r="F449" s="21"/>
    </row>
    <row r="450" spans="1:6" x14ac:dyDescent="0.25">
      <c r="A450" s="21"/>
      <c r="B450" s="21"/>
      <c r="C450" s="21"/>
      <c r="D450" s="21"/>
      <c r="E450" s="21"/>
      <c r="F450" s="21"/>
    </row>
    <row r="451" spans="1:6" x14ac:dyDescent="0.25">
      <c r="A451" s="21"/>
      <c r="B451" s="21"/>
      <c r="C451" s="21"/>
      <c r="D451" s="21"/>
      <c r="E451" s="21"/>
      <c r="F451" s="21"/>
    </row>
    <row r="452" spans="1:6" x14ac:dyDescent="0.25">
      <c r="A452" s="21"/>
      <c r="B452" s="21"/>
      <c r="C452" s="21"/>
      <c r="D452" s="21"/>
      <c r="E452" s="21"/>
      <c r="F452" s="21"/>
    </row>
    <row r="453" spans="1:6" x14ac:dyDescent="0.25">
      <c r="A453" s="21"/>
      <c r="B453" s="21"/>
      <c r="C453" s="21"/>
      <c r="D453" s="21"/>
      <c r="E453" s="21"/>
      <c r="F453" s="21"/>
    </row>
    <row r="454" spans="1:6" x14ac:dyDescent="0.25">
      <c r="A454" s="21"/>
      <c r="B454" s="21"/>
      <c r="C454" s="21"/>
      <c r="D454" s="21"/>
      <c r="E454" s="21"/>
      <c r="F454" s="21"/>
    </row>
    <row r="455" spans="1:6" x14ac:dyDescent="0.25">
      <c r="A455" s="21"/>
      <c r="B455" s="21"/>
      <c r="C455" s="21"/>
      <c r="D455" s="21"/>
      <c r="E455" s="21"/>
      <c r="F455" s="21"/>
    </row>
    <row r="456" spans="1:6" x14ac:dyDescent="0.25">
      <c r="A456" s="21"/>
      <c r="B456" s="21"/>
      <c r="C456" s="21"/>
      <c r="D456" s="21"/>
      <c r="E456" s="21"/>
      <c r="F456" s="21"/>
    </row>
    <row r="457" spans="1:6" x14ac:dyDescent="0.25">
      <c r="A457" s="21"/>
      <c r="B457" s="21"/>
      <c r="C457" s="21"/>
      <c r="D457" s="21"/>
      <c r="E457" s="21"/>
      <c r="F457" s="21"/>
    </row>
    <row r="458" spans="1:6" x14ac:dyDescent="0.25">
      <c r="A458" s="21"/>
      <c r="B458" s="21"/>
      <c r="C458" s="21"/>
      <c r="D458" s="21"/>
      <c r="E458" s="21"/>
      <c r="F458" s="21"/>
    </row>
    <row r="459" spans="1:6" x14ac:dyDescent="0.25">
      <c r="A459" s="21"/>
      <c r="B459" s="21"/>
      <c r="C459" s="21"/>
      <c r="D459" s="21"/>
      <c r="E459" s="21"/>
      <c r="F459" s="21"/>
    </row>
    <row r="460" spans="1:6" x14ac:dyDescent="0.25">
      <c r="A460" s="21"/>
      <c r="B460" s="21"/>
      <c r="C460" s="21"/>
      <c r="D460" s="21"/>
      <c r="E460" s="21"/>
      <c r="F460" s="21"/>
    </row>
    <row r="461" spans="1:6" x14ac:dyDescent="0.25">
      <c r="A461" s="21"/>
      <c r="B461" s="21"/>
      <c r="C461" s="21"/>
      <c r="D461" s="21"/>
      <c r="E461" s="21"/>
      <c r="F461" s="21"/>
    </row>
    <row r="462" spans="1:6" x14ac:dyDescent="0.25">
      <c r="A462" s="21"/>
      <c r="B462" s="21"/>
      <c r="C462" s="21"/>
      <c r="D462" s="21"/>
      <c r="E462" s="21"/>
      <c r="F462" s="21"/>
    </row>
    <row r="463" spans="1:6" x14ac:dyDescent="0.25">
      <c r="A463" s="21"/>
      <c r="B463" s="21"/>
      <c r="C463" s="21"/>
      <c r="D463" s="21"/>
      <c r="E463" s="21"/>
      <c r="F463" s="21"/>
    </row>
    <row r="464" spans="1:6" x14ac:dyDescent="0.25">
      <c r="A464" s="21"/>
      <c r="B464" s="21"/>
      <c r="C464" s="21"/>
      <c r="D464" s="21"/>
      <c r="E464" s="21"/>
      <c r="F464" s="21"/>
    </row>
    <row r="465" spans="1:6" x14ac:dyDescent="0.25">
      <c r="A465" s="21"/>
      <c r="B465" s="21"/>
      <c r="C465" s="21"/>
      <c r="D465" s="21"/>
      <c r="E465" s="21"/>
      <c r="F465" s="21"/>
    </row>
    <row r="466" spans="1:6" x14ac:dyDescent="0.25">
      <c r="A466" s="21"/>
      <c r="B466" s="21"/>
      <c r="C466" s="21"/>
      <c r="D466" s="21"/>
      <c r="E466" s="21"/>
      <c r="F466" s="21"/>
    </row>
    <row r="467" spans="1:6" x14ac:dyDescent="0.25">
      <c r="A467" s="21"/>
      <c r="B467" s="21"/>
      <c r="C467" s="21"/>
      <c r="D467" s="21"/>
      <c r="E467" s="21"/>
      <c r="F467" s="21"/>
    </row>
    <row r="468" spans="1:6" x14ac:dyDescent="0.25">
      <c r="A468" s="21"/>
      <c r="B468" s="21"/>
      <c r="C468" s="21"/>
      <c r="D468" s="21"/>
      <c r="E468" s="21"/>
      <c r="F468" s="21"/>
    </row>
    <row r="469" spans="1:6" x14ac:dyDescent="0.25">
      <c r="A469" s="21"/>
      <c r="B469" s="21"/>
      <c r="C469" s="21"/>
      <c r="D469" s="21"/>
      <c r="E469" s="21"/>
      <c r="F469" s="21"/>
    </row>
    <row r="470" spans="1:6" x14ac:dyDescent="0.25">
      <c r="A470" s="21"/>
      <c r="B470" s="21"/>
      <c r="C470" s="21"/>
      <c r="D470" s="21"/>
      <c r="E470" s="21"/>
      <c r="F470" s="21"/>
    </row>
    <row r="471" spans="1:6" x14ac:dyDescent="0.25">
      <c r="A471" s="21"/>
      <c r="B471" s="21"/>
      <c r="C471" s="21"/>
      <c r="D471" s="21"/>
      <c r="E471" s="21"/>
      <c r="F471" s="21"/>
    </row>
    <row r="472" spans="1:6" x14ac:dyDescent="0.25">
      <c r="A472" s="21"/>
      <c r="B472" s="21"/>
      <c r="C472" s="21"/>
      <c r="D472" s="21"/>
      <c r="E472" s="21"/>
      <c r="F472" s="21"/>
    </row>
    <row r="473" spans="1:6" x14ac:dyDescent="0.25">
      <c r="A473" s="21"/>
      <c r="B473" s="21"/>
      <c r="C473" s="21"/>
      <c r="D473" s="21"/>
      <c r="E473" s="21"/>
      <c r="F473" s="21"/>
    </row>
    <row r="474" spans="1:6" x14ac:dyDescent="0.25">
      <c r="A474" s="21"/>
      <c r="B474" s="21"/>
      <c r="C474" s="21"/>
      <c r="D474" s="21"/>
      <c r="E474" s="21"/>
      <c r="F474" s="21"/>
    </row>
    <row r="475" spans="1:6" x14ac:dyDescent="0.25">
      <c r="A475" s="21"/>
      <c r="B475" s="21"/>
      <c r="C475" s="21"/>
      <c r="D475" s="21"/>
      <c r="E475" s="21"/>
      <c r="F475" s="21"/>
    </row>
    <row r="476" spans="1:6" x14ac:dyDescent="0.25">
      <c r="A476" s="21"/>
      <c r="B476" s="21"/>
      <c r="C476" s="21"/>
      <c r="D476" s="21"/>
      <c r="E476" s="21"/>
      <c r="F476" s="21"/>
    </row>
    <row r="477" spans="1:6" x14ac:dyDescent="0.25">
      <c r="A477" s="21"/>
      <c r="B477" s="21"/>
      <c r="C477" s="21"/>
      <c r="D477" s="21"/>
      <c r="E477" s="21"/>
      <c r="F477" s="21"/>
    </row>
    <row r="478" spans="1:6" x14ac:dyDescent="0.25">
      <c r="A478" s="21"/>
      <c r="B478" s="21"/>
      <c r="C478" s="21"/>
      <c r="D478" s="21"/>
      <c r="E478" s="21"/>
      <c r="F478" s="21"/>
    </row>
    <row r="479" spans="1:6" x14ac:dyDescent="0.25">
      <c r="A479" s="21"/>
      <c r="B479" s="21"/>
      <c r="C479" s="21"/>
      <c r="D479" s="21"/>
      <c r="E479" s="21"/>
      <c r="F479" s="21"/>
    </row>
    <row r="480" spans="1:6" x14ac:dyDescent="0.25">
      <c r="A480" s="21"/>
      <c r="B480" s="21"/>
      <c r="C480" s="21"/>
      <c r="D480" s="21"/>
      <c r="E480" s="21"/>
      <c r="F480" s="21"/>
    </row>
    <row r="481" spans="1:6" x14ac:dyDescent="0.25">
      <c r="A481" s="21"/>
      <c r="B481" s="21"/>
      <c r="C481" s="21"/>
      <c r="D481" s="21"/>
      <c r="E481" s="21"/>
      <c r="F481" s="21"/>
    </row>
    <row r="482" spans="1:6" x14ac:dyDescent="0.25">
      <c r="A482" s="21"/>
      <c r="B482" s="21"/>
      <c r="C482" s="21"/>
      <c r="D482" s="21"/>
      <c r="E482" s="21"/>
      <c r="F482" s="21"/>
    </row>
    <row r="483" spans="1:6" x14ac:dyDescent="0.25">
      <c r="A483" s="21"/>
      <c r="B483" s="21"/>
      <c r="C483" s="21"/>
      <c r="D483" s="21"/>
      <c r="E483" s="21"/>
      <c r="F483" s="21"/>
    </row>
    <row r="484" spans="1:6" x14ac:dyDescent="0.25">
      <c r="A484" s="21"/>
      <c r="B484" s="21"/>
      <c r="C484" s="21"/>
      <c r="D484" s="21"/>
      <c r="E484" s="21"/>
      <c r="F484" s="21"/>
    </row>
    <row r="485" spans="1:6" x14ac:dyDescent="0.25">
      <c r="A485" s="21"/>
      <c r="B485" s="21"/>
      <c r="C485" s="21"/>
      <c r="D485" s="21"/>
      <c r="E485" s="21"/>
      <c r="F485" s="21"/>
    </row>
    <row r="486" spans="1:6" x14ac:dyDescent="0.25">
      <c r="A486" s="21"/>
      <c r="B486" s="21"/>
      <c r="C486" s="21"/>
      <c r="D486" s="21"/>
      <c r="E486" s="21"/>
      <c r="F486" s="21"/>
    </row>
    <row r="487" spans="1:6" x14ac:dyDescent="0.25">
      <c r="A487" s="21"/>
      <c r="B487" s="21"/>
      <c r="C487" s="21"/>
      <c r="D487" s="21"/>
      <c r="E487" s="21"/>
      <c r="F487" s="21"/>
    </row>
    <row r="488" spans="1:6" x14ac:dyDescent="0.25">
      <c r="A488" s="21"/>
      <c r="B488" s="21"/>
      <c r="C488" s="21"/>
      <c r="D488" s="21"/>
      <c r="E488" s="21"/>
      <c r="F488" s="21"/>
    </row>
    <row r="489" spans="1:6" x14ac:dyDescent="0.25">
      <c r="A489" s="21"/>
      <c r="B489" s="21"/>
      <c r="C489" s="21"/>
      <c r="D489" s="21"/>
      <c r="E489" s="21"/>
      <c r="F489" s="21"/>
    </row>
    <row r="490" spans="1:6" x14ac:dyDescent="0.25">
      <c r="A490" s="21"/>
      <c r="B490" s="21"/>
      <c r="C490" s="21"/>
      <c r="D490" s="21"/>
      <c r="E490" s="21"/>
      <c r="F490" s="21"/>
    </row>
    <row r="491" spans="1:6" x14ac:dyDescent="0.25">
      <c r="A491" s="21"/>
      <c r="B491" s="21"/>
      <c r="C491" s="21"/>
      <c r="D491" s="21"/>
      <c r="E491" s="21"/>
      <c r="F491" s="21"/>
    </row>
    <row r="492" spans="1:6" x14ac:dyDescent="0.25">
      <c r="A492" s="21"/>
      <c r="B492" s="21"/>
      <c r="C492" s="21"/>
      <c r="D492" s="21"/>
      <c r="E492" s="21"/>
      <c r="F492" s="21"/>
    </row>
    <row r="493" spans="1:6" x14ac:dyDescent="0.25">
      <c r="A493" s="21"/>
      <c r="B493" s="21"/>
      <c r="C493" s="21"/>
      <c r="D493" s="21"/>
      <c r="E493" s="21"/>
      <c r="F493" s="21"/>
    </row>
    <row r="494" spans="1:6" x14ac:dyDescent="0.25">
      <c r="A494" s="21"/>
      <c r="B494" s="21"/>
      <c r="C494" s="21"/>
      <c r="D494" s="21"/>
      <c r="E494" s="21"/>
      <c r="F494" s="21"/>
    </row>
    <row r="495" spans="1:6" x14ac:dyDescent="0.25">
      <c r="A495" s="21"/>
      <c r="B495" s="21"/>
      <c r="C495" s="21"/>
      <c r="D495" s="21"/>
      <c r="E495" s="21"/>
      <c r="F495" s="21"/>
    </row>
    <row r="496" spans="1:6" x14ac:dyDescent="0.25">
      <c r="A496" s="21"/>
      <c r="B496" s="21"/>
      <c r="C496" s="21"/>
      <c r="D496" s="21"/>
      <c r="E496" s="21"/>
      <c r="F496" s="21"/>
    </row>
    <row r="497" spans="1:6" x14ac:dyDescent="0.25">
      <c r="A497" s="21"/>
      <c r="B497" s="21"/>
      <c r="C497" s="21"/>
      <c r="D497" s="21"/>
      <c r="E497" s="21"/>
      <c r="F497" s="21"/>
    </row>
    <row r="498" spans="1:6" x14ac:dyDescent="0.25">
      <c r="A498" s="21"/>
      <c r="B498" s="21"/>
      <c r="C498" s="21"/>
      <c r="D498" s="21"/>
      <c r="E498" s="21"/>
      <c r="F498" s="21"/>
    </row>
    <row r="499" spans="1:6" x14ac:dyDescent="0.25">
      <c r="A499" s="21"/>
      <c r="B499" s="21"/>
      <c r="C499" s="21"/>
      <c r="D499" s="21"/>
      <c r="E499" s="21"/>
      <c r="F499" s="21"/>
    </row>
    <row r="500" spans="1:6" x14ac:dyDescent="0.25">
      <c r="A500" s="21"/>
      <c r="B500" s="21"/>
      <c r="C500" s="21"/>
      <c r="D500" s="21"/>
      <c r="E500" s="21"/>
      <c r="F500" s="21"/>
    </row>
    <row r="501" spans="1:6" x14ac:dyDescent="0.25">
      <c r="A501" s="21"/>
      <c r="B501" s="21"/>
      <c r="C501" s="21"/>
      <c r="D501" s="21"/>
      <c r="E501" s="21"/>
      <c r="F501" s="21"/>
    </row>
    <row r="502" spans="1:6" x14ac:dyDescent="0.25">
      <c r="A502" s="21"/>
      <c r="B502" s="21"/>
      <c r="C502" s="21"/>
      <c r="D502" s="21"/>
      <c r="E502" s="21"/>
      <c r="F502" s="21"/>
    </row>
    <row r="503" spans="1:6" x14ac:dyDescent="0.25">
      <c r="A503" s="21"/>
      <c r="B503" s="21"/>
      <c r="C503" s="21"/>
      <c r="D503" s="21"/>
      <c r="E503" s="21"/>
      <c r="F503" s="21"/>
    </row>
    <row r="504" spans="1:6" x14ac:dyDescent="0.25">
      <c r="A504" s="21"/>
      <c r="B504" s="21"/>
      <c r="C504" s="21"/>
      <c r="D504" s="21"/>
      <c r="E504" s="21"/>
      <c r="F504" s="21"/>
    </row>
    <row r="505" spans="1:6" x14ac:dyDescent="0.25">
      <c r="A505" s="21"/>
      <c r="B505" s="21"/>
      <c r="C505" s="21"/>
      <c r="D505" s="21"/>
      <c r="E505" s="21"/>
      <c r="F505" s="21"/>
    </row>
    <row r="506" spans="1:6" x14ac:dyDescent="0.25">
      <c r="A506" s="21"/>
      <c r="B506" s="21"/>
      <c r="C506" s="21"/>
      <c r="D506" s="21"/>
      <c r="E506" s="21"/>
      <c r="F506" s="21"/>
    </row>
    <row r="507" spans="1:6" x14ac:dyDescent="0.25">
      <c r="A507" s="21"/>
      <c r="B507" s="21"/>
      <c r="C507" s="21"/>
      <c r="D507" s="21"/>
      <c r="E507" s="21"/>
      <c r="F507" s="21"/>
    </row>
    <row r="508" spans="1:6" x14ac:dyDescent="0.25">
      <c r="A508" s="21"/>
      <c r="B508" s="21"/>
      <c r="C508" s="21"/>
      <c r="D508" s="21"/>
      <c r="E508" s="21"/>
      <c r="F508" s="21"/>
    </row>
    <row r="509" spans="1:6" x14ac:dyDescent="0.25">
      <c r="A509" s="21"/>
      <c r="B509" s="21"/>
      <c r="C509" s="21"/>
      <c r="D509" s="21"/>
      <c r="E509" s="21"/>
      <c r="F509" s="21"/>
    </row>
    <row r="510" spans="1:6" x14ac:dyDescent="0.25">
      <c r="A510" s="21"/>
      <c r="B510" s="21"/>
      <c r="C510" s="21"/>
      <c r="D510" s="21"/>
      <c r="E510" s="21"/>
      <c r="F510" s="21"/>
    </row>
    <row r="511" spans="1:6" x14ac:dyDescent="0.25">
      <c r="A511" s="21"/>
      <c r="B511" s="21"/>
      <c r="C511" s="21"/>
      <c r="D511" s="21"/>
      <c r="E511" s="21"/>
      <c r="F511" s="21"/>
    </row>
    <row r="512" spans="1:6" x14ac:dyDescent="0.25">
      <c r="A512" s="21"/>
      <c r="B512" s="21"/>
      <c r="C512" s="21"/>
      <c r="D512" s="21"/>
      <c r="E512" s="21"/>
      <c r="F512" s="21"/>
    </row>
    <row r="513" spans="1:6" x14ac:dyDescent="0.25">
      <c r="A513" s="21"/>
      <c r="B513" s="21"/>
      <c r="C513" s="21"/>
      <c r="D513" s="21"/>
      <c r="E513" s="21"/>
      <c r="F513" s="21"/>
    </row>
    <row r="514" spans="1:6" x14ac:dyDescent="0.25">
      <c r="A514" s="21"/>
      <c r="B514" s="21"/>
      <c r="C514" s="21"/>
      <c r="D514" s="21"/>
      <c r="E514" s="21"/>
      <c r="F514" s="21"/>
    </row>
    <row r="515" spans="1:6" x14ac:dyDescent="0.25">
      <c r="A515" s="21"/>
      <c r="B515" s="21"/>
      <c r="C515" s="21"/>
      <c r="D515" s="21"/>
      <c r="E515" s="21"/>
      <c r="F515" s="21"/>
    </row>
    <row r="516" spans="1:6" x14ac:dyDescent="0.25">
      <c r="A516" s="21"/>
      <c r="B516" s="21"/>
      <c r="C516" s="21"/>
      <c r="D516" s="21"/>
      <c r="E516" s="21"/>
      <c r="F516" s="21"/>
    </row>
    <row r="517" spans="1:6" x14ac:dyDescent="0.25">
      <c r="A517" s="21"/>
      <c r="B517" s="21"/>
      <c r="C517" s="21"/>
      <c r="D517" s="21"/>
      <c r="E517" s="21"/>
      <c r="F517" s="21"/>
    </row>
    <row r="518" spans="1:6" x14ac:dyDescent="0.25">
      <c r="A518" s="21"/>
      <c r="B518" s="21"/>
      <c r="C518" s="21"/>
      <c r="D518" s="21"/>
      <c r="E518" s="21"/>
      <c r="F518" s="21"/>
    </row>
    <row r="519" spans="1:6" x14ac:dyDescent="0.25">
      <c r="A519" s="21"/>
      <c r="B519" s="21"/>
      <c r="C519" s="21"/>
      <c r="D519" s="21"/>
      <c r="E519" s="21"/>
      <c r="F519" s="21"/>
    </row>
    <row r="520" spans="1:6" x14ac:dyDescent="0.25">
      <c r="A520" s="21"/>
      <c r="B520" s="21"/>
      <c r="C520" s="21"/>
      <c r="D520" s="21"/>
      <c r="E520" s="21"/>
      <c r="F520" s="21"/>
    </row>
    <row r="521" spans="1:6" x14ac:dyDescent="0.25">
      <c r="A521" s="21"/>
      <c r="B521" s="21"/>
      <c r="C521" s="21"/>
      <c r="D521" s="21"/>
      <c r="E521" s="21"/>
      <c r="F521" s="21"/>
    </row>
    <row r="522" spans="1:6" x14ac:dyDescent="0.25">
      <c r="A522" s="21"/>
      <c r="B522" s="21"/>
      <c r="C522" s="21"/>
      <c r="D522" s="21"/>
      <c r="E522" s="21"/>
      <c r="F522" s="21"/>
    </row>
    <row r="523" spans="1:6" x14ac:dyDescent="0.25">
      <c r="A523" s="21"/>
      <c r="B523" s="21"/>
      <c r="C523" s="21"/>
      <c r="D523" s="21"/>
      <c r="E523" s="21"/>
      <c r="F523" s="21"/>
    </row>
    <row r="524" spans="1:6" x14ac:dyDescent="0.25">
      <c r="A524" s="21"/>
      <c r="B524" s="21"/>
      <c r="C524" s="21"/>
      <c r="D524" s="21"/>
      <c r="E524" s="21"/>
      <c r="F524" s="21"/>
    </row>
    <row r="525" spans="1:6" x14ac:dyDescent="0.25">
      <c r="A525" s="21"/>
      <c r="B525" s="21"/>
      <c r="C525" s="21"/>
      <c r="D525" s="21"/>
      <c r="E525" s="21"/>
      <c r="F525" s="21"/>
    </row>
    <row r="526" spans="1:6" x14ac:dyDescent="0.25">
      <c r="A526" s="21"/>
      <c r="B526" s="21"/>
      <c r="C526" s="21"/>
      <c r="D526" s="21"/>
      <c r="E526" s="21"/>
      <c r="F526" s="21"/>
    </row>
    <row r="527" spans="1:6" x14ac:dyDescent="0.25">
      <c r="A527" s="21"/>
      <c r="B527" s="21"/>
      <c r="C527" s="21"/>
      <c r="D527" s="21"/>
      <c r="E527" s="21"/>
      <c r="F527" s="21"/>
    </row>
    <row r="528" spans="1:6" x14ac:dyDescent="0.25">
      <c r="A528" s="21"/>
      <c r="B528" s="21"/>
      <c r="C528" s="21"/>
      <c r="D528" s="21"/>
      <c r="E528" s="21"/>
      <c r="F528" s="21"/>
    </row>
    <row r="529" spans="1:6" x14ac:dyDescent="0.25">
      <c r="A529" s="21"/>
      <c r="B529" s="21"/>
      <c r="C529" s="21"/>
      <c r="D529" s="21"/>
      <c r="E529" s="21"/>
      <c r="F529" s="21"/>
    </row>
    <row r="530" spans="1:6" x14ac:dyDescent="0.25">
      <c r="A530" s="21"/>
      <c r="B530" s="21"/>
      <c r="C530" s="21"/>
      <c r="D530" s="21"/>
      <c r="E530" s="21"/>
      <c r="F530" s="21"/>
    </row>
    <row r="531" spans="1:6" x14ac:dyDescent="0.25">
      <c r="A531" s="21"/>
      <c r="B531" s="21"/>
      <c r="C531" s="21"/>
      <c r="D531" s="21"/>
      <c r="E531" s="21"/>
      <c r="F531" s="21"/>
    </row>
    <row r="532" spans="1:6" x14ac:dyDescent="0.25">
      <c r="A532" s="21"/>
      <c r="B532" s="21"/>
      <c r="C532" s="21"/>
      <c r="D532" s="21"/>
      <c r="E532" s="21"/>
      <c r="F532" s="21"/>
    </row>
    <row r="533" spans="1:6" x14ac:dyDescent="0.25">
      <c r="A533" s="21"/>
      <c r="B533" s="21"/>
      <c r="C533" s="21"/>
      <c r="D533" s="21"/>
      <c r="E533" s="21"/>
      <c r="F533" s="21"/>
    </row>
    <row r="534" spans="1:6" x14ac:dyDescent="0.25">
      <c r="A534" s="21"/>
      <c r="B534" s="21"/>
      <c r="C534" s="21"/>
      <c r="D534" s="21"/>
      <c r="E534" s="21"/>
      <c r="F534" s="21"/>
    </row>
    <row r="535" spans="1:6" x14ac:dyDescent="0.25">
      <c r="A535" s="21"/>
      <c r="B535" s="21"/>
      <c r="C535" s="21"/>
      <c r="D535" s="21"/>
      <c r="E535" s="21"/>
      <c r="F535" s="21"/>
    </row>
    <row r="536" spans="1:6" x14ac:dyDescent="0.25">
      <c r="A536" s="21"/>
      <c r="B536" s="21"/>
      <c r="C536" s="21"/>
      <c r="D536" s="21"/>
      <c r="E536" s="21"/>
      <c r="F536" s="21"/>
    </row>
    <row r="537" spans="1:6" x14ac:dyDescent="0.25">
      <c r="A537" s="21"/>
      <c r="B537" s="21"/>
      <c r="C537" s="21"/>
      <c r="D537" s="21"/>
      <c r="E537" s="21"/>
      <c r="F537" s="21"/>
    </row>
    <row r="538" spans="1:6" x14ac:dyDescent="0.25">
      <c r="A538" s="21"/>
      <c r="B538" s="21"/>
      <c r="C538" s="21"/>
      <c r="D538" s="21"/>
      <c r="E538" s="21"/>
      <c r="F538" s="21"/>
    </row>
    <row r="539" spans="1:6" x14ac:dyDescent="0.25">
      <c r="A539" s="21"/>
      <c r="B539" s="21"/>
      <c r="C539" s="21"/>
      <c r="D539" s="21"/>
      <c r="E539" s="21"/>
      <c r="F539" s="21"/>
    </row>
    <row r="540" spans="1:6" x14ac:dyDescent="0.25">
      <c r="A540" s="21"/>
      <c r="B540" s="21"/>
      <c r="C540" s="21"/>
      <c r="D540" s="21"/>
      <c r="E540" s="21"/>
      <c r="F540" s="21"/>
    </row>
    <row r="541" spans="1:6" x14ac:dyDescent="0.25">
      <c r="A541" s="21"/>
      <c r="B541" s="21"/>
      <c r="C541" s="21"/>
      <c r="D541" s="21"/>
      <c r="E541" s="21"/>
      <c r="F541" s="21"/>
    </row>
    <row r="542" spans="1:6" x14ac:dyDescent="0.25">
      <c r="A542" s="21"/>
      <c r="B542" s="21"/>
      <c r="C542" s="21"/>
      <c r="D542" s="21"/>
      <c r="E542" s="21"/>
      <c r="F542" s="21"/>
    </row>
    <row r="543" spans="1:6" x14ac:dyDescent="0.25">
      <c r="A543" s="21"/>
      <c r="B543" s="21"/>
      <c r="C543" s="21"/>
      <c r="D543" s="21"/>
      <c r="E543" s="21"/>
      <c r="F543" s="21"/>
    </row>
    <row r="544" spans="1:6" x14ac:dyDescent="0.25">
      <c r="A544" s="21"/>
      <c r="B544" s="21"/>
      <c r="C544" s="21"/>
      <c r="D544" s="21"/>
      <c r="E544" s="21"/>
      <c r="F544" s="21"/>
    </row>
    <row r="545" spans="1:6" x14ac:dyDescent="0.25">
      <c r="A545" s="21"/>
      <c r="B545" s="21"/>
      <c r="C545" s="21"/>
      <c r="D545" s="21"/>
      <c r="E545" s="21"/>
      <c r="F545" s="21"/>
    </row>
    <row r="546" spans="1:6" x14ac:dyDescent="0.25">
      <c r="A546" s="21"/>
      <c r="B546" s="21"/>
      <c r="C546" s="21"/>
      <c r="D546" s="21"/>
      <c r="E546" s="21"/>
      <c r="F546" s="21"/>
    </row>
    <row r="547" spans="1:6" x14ac:dyDescent="0.25">
      <c r="A547" s="21"/>
      <c r="B547" s="21"/>
      <c r="C547" s="21"/>
      <c r="D547" s="21"/>
      <c r="E547" s="21"/>
      <c r="F547" s="21"/>
    </row>
    <row r="548" spans="1:6" x14ac:dyDescent="0.25">
      <c r="A548" s="21"/>
      <c r="B548" s="21"/>
      <c r="C548" s="21"/>
      <c r="D548" s="21"/>
      <c r="E548" s="21"/>
      <c r="F548" s="21"/>
    </row>
    <row r="549" spans="1:6" x14ac:dyDescent="0.25">
      <c r="A549" s="21"/>
      <c r="B549" s="21"/>
      <c r="C549" s="21"/>
      <c r="D549" s="21"/>
      <c r="E549" s="21"/>
      <c r="F549" s="21"/>
    </row>
    <row r="550" spans="1:6" x14ac:dyDescent="0.25">
      <c r="A550" s="21"/>
      <c r="B550" s="21"/>
      <c r="C550" s="21"/>
      <c r="D550" s="21"/>
      <c r="E550" s="21"/>
      <c r="F550" s="21"/>
    </row>
    <row r="551" spans="1:6" x14ac:dyDescent="0.25">
      <c r="A551" s="21"/>
      <c r="B551" s="21"/>
      <c r="C551" s="21"/>
      <c r="D551" s="21"/>
      <c r="E551" s="21"/>
      <c r="F551" s="21"/>
    </row>
    <row r="552" spans="1:6" x14ac:dyDescent="0.25">
      <c r="A552" s="21"/>
      <c r="B552" s="21"/>
      <c r="C552" s="21"/>
      <c r="D552" s="21"/>
      <c r="E552" s="21"/>
      <c r="F552" s="21"/>
    </row>
    <row r="553" spans="1:6" x14ac:dyDescent="0.25">
      <c r="A553" s="21"/>
      <c r="B553" s="21"/>
      <c r="C553" s="21"/>
      <c r="D553" s="21"/>
      <c r="E553" s="21"/>
      <c r="F553" s="21"/>
    </row>
    <row r="554" spans="1:6" x14ac:dyDescent="0.25">
      <c r="A554" s="21"/>
      <c r="B554" s="21"/>
      <c r="C554" s="21"/>
      <c r="D554" s="21"/>
      <c r="E554" s="21"/>
      <c r="F554" s="21"/>
    </row>
    <row r="555" spans="1:6" x14ac:dyDescent="0.25">
      <c r="A555" s="21"/>
      <c r="B555" s="21"/>
      <c r="C555" s="21"/>
      <c r="D555" s="21"/>
      <c r="E555" s="21"/>
      <c r="F555" s="21"/>
    </row>
    <row r="556" spans="1:6" x14ac:dyDescent="0.25">
      <c r="A556" s="21"/>
      <c r="B556" s="21"/>
      <c r="C556" s="21"/>
      <c r="D556" s="21"/>
      <c r="E556" s="21"/>
      <c r="F556" s="21"/>
    </row>
    <row r="557" spans="1:6" x14ac:dyDescent="0.25">
      <c r="A557" s="21"/>
      <c r="B557" s="21"/>
      <c r="C557" s="21"/>
      <c r="D557" s="21"/>
      <c r="E557" s="21"/>
      <c r="F557" s="21"/>
    </row>
    <row r="558" spans="1:6" x14ac:dyDescent="0.25">
      <c r="A558" s="21"/>
      <c r="B558" s="21"/>
      <c r="C558" s="21"/>
      <c r="D558" s="21"/>
      <c r="E558" s="21"/>
      <c r="F558" s="21"/>
    </row>
    <row r="559" spans="1:6" x14ac:dyDescent="0.25">
      <c r="A559" s="21"/>
      <c r="B559" s="21"/>
      <c r="C559" s="21"/>
      <c r="D559" s="21"/>
      <c r="E559" s="21"/>
      <c r="F559" s="21"/>
    </row>
    <row r="560" spans="1:6" x14ac:dyDescent="0.25">
      <c r="A560" s="21"/>
      <c r="B560" s="21"/>
      <c r="C560" s="21"/>
      <c r="D560" s="21"/>
      <c r="E560" s="21"/>
      <c r="F560" s="21"/>
    </row>
    <row r="561" spans="1:6" x14ac:dyDescent="0.25">
      <c r="A561" s="21"/>
      <c r="B561" s="21"/>
      <c r="C561" s="21"/>
      <c r="D561" s="21"/>
      <c r="E561" s="21"/>
      <c r="F561" s="21"/>
    </row>
    <row r="562" spans="1:6" x14ac:dyDescent="0.25">
      <c r="A562" s="21"/>
      <c r="B562" s="21"/>
      <c r="C562" s="21"/>
      <c r="D562" s="21"/>
      <c r="E562" s="21"/>
      <c r="F562" s="21"/>
    </row>
    <row r="563" spans="1:6" x14ac:dyDescent="0.25">
      <c r="A563" s="21"/>
      <c r="B563" s="21"/>
      <c r="C563" s="21"/>
      <c r="D563" s="21"/>
      <c r="E563" s="21"/>
      <c r="F563" s="21"/>
    </row>
    <row r="564" spans="1:6" x14ac:dyDescent="0.25">
      <c r="A564" s="21"/>
      <c r="B564" s="21"/>
      <c r="C564" s="21"/>
      <c r="D564" s="21"/>
      <c r="E564" s="21"/>
      <c r="F564" s="21"/>
    </row>
    <row r="565" spans="1:6" x14ac:dyDescent="0.25">
      <c r="A565" s="21"/>
      <c r="B565" s="21"/>
      <c r="C565" s="21"/>
      <c r="D565" s="21"/>
      <c r="E565" s="21"/>
      <c r="F565" s="21"/>
    </row>
    <row r="566" spans="1:6" x14ac:dyDescent="0.25">
      <c r="A566" s="21"/>
      <c r="B566" s="21"/>
      <c r="C566" s="21"/>
      <c r="D566" s="21"/>
      <c r="E566" s="21"/>
      <c r="F566" s="21"/>
    </row>
    <row r="567" spans="1:6" x14ac:dyDescent="0.25">
      <c r="A567" s="21"/>
      <c r="B567" s="21"/>
      <c r="C567" s="21"/>
      <c r="D567" s="21"/>
      <c r="E567" s="21"/>
      <c r="F567" s="21"/>
    </row>
    <row r="568" spans="1:6" x14ac:dyDescent="0.25">
      <c r="A568" s="21"/>
      <c r="B568" s="21"/>
      <c r="C568" s="21"/>
      <c r="D568" s="21"/>
      <c r="E568" s="21"/>
      <c r="F568" s="21"/>
    </row>
    <row r="569" spans="1:6" x14ac:dyDescent="0.25">
      <c r="A569" s="21"/>
      <c r="B569" s="21"/>
      <c r="C569" s="21"/>
      <c r="D569" s="21"/>
      <c r="E569" s="21"/>
      <c r="F569" s="21"/>
    </row>
    <row r="570" spans="1:6" x14ac:dyDescent="0.25">
      <c r="A570" s="21"/>
      <c r="B570" s="21"/>
      <c r="C570" s="21"/>
      <c r="D570" s="21"/>
      <c r="E570" s="21"/>
      <c r="F570" s="21"/>
    </row>
    <row r="571" spans="1:6" x14ac:dyDescent="0.25">
      <c r="A571" s="21"/>
      <c r="B571" s="21"/>
      <c r="C571" s="21"/>
      <c r="D571" s="21"/>
      <c r="E571" s="21"/>
      <c r="F571" s="21"/>
    </row>
    <row r="572" spans="1:6" x14ac:dyDescent="0.25">
      <c r="A572" s="21"/>
      <c r="B572" s="21"/>
      <c r="C572" s="21"/>
      <c r="D572" s="21"/>
      <c r="E572" s="21"/>
      <c r="F572" s="21"/>
    </row>
    <row r="573" spans="1:6" x14ac:dyDescent="0.25">
      <c r="A573" s="21"/>
      <c r="B573" s="21"/>
      <c r="C573" s="21"/>
      <c r="D573" s="21"/>
      <c r="E573" s="21"/>
      <c r="F573" s="21"/>
    </row>
    <row r="574" spans="1:6" x14ac:dyDescent="0.25">
      <c r="A574" s="21"/>
      <c r="B574" s="21"/>
      <c r="C574" s="21"/>
      <c r="D574" s="21"/>
      <c r="E574" s="21"/>
      <c r="F574" s="21"/>
    </row>
    <row r="575" spans="1:6" x14ac:dyDescent="0.25">
      <c r="A575" s="21"/>
      <c r="B575" s="21"/>
      <c r="C575" s="21"/>
      <c r="D575" s="21"/>
      <c r="E575" s="21"/>
      <c r="F575" s="21"/>
    </row>
    <row r="576" spans="1:6" x14ac:dyDescent="0.25">
      <c r="A576" s="21"/>
      <c r="B576" s="21"/>
      <c r="C576" s="21"/>
      <c r="D576" s="21"/>
      <c r="E576" s="21"/>
      <c r="F576" s="21"/>
    </row>
    <row r="577" spans="1:6" x14ac:dyDescent="0.25">
      <c r="A577" s="21"/>
      <c r="B577" s="21"/>
      <c r="C577" s="21"/>
      <c r="D577" s="21"/>
      <c r="E577" s="21"/>
      <c r="F577" s="21"/>
    </row>
    <row r="578" spans="1:6" x14ac:dyDescent="0.25">
      <c r="A578" s="21"/>
      <c r="B578" s="21"/>
      <c r="C578" s="21"/>
      <c r="D578" s="21"/>
      <c r="E578" s="21"/>
      <c r="F578" s="21"/>
    </row>
    <row r="579" spans="1:6" x14ac:dyDescent="0.25">
      <c r="A579" s="21"/>
      <c r="B579" s="21"/>
      <c r="C579" s="21"/>
      <c r="D579" s="21"/>
      <c r="E579" s="21"/>
      <c r="F579" s="21"/>
    </row>
    <row r="580" spans="1:6" x14ac:dyDescent="0.25">
      <c r="A580" s="21"/>
      <c r="B580" s="21"/>
      <c r="C580" s="21"/>
      <c r="D580" s="21"/>
      <c r="E580" s="21"/>
      <c r="F580" s="21"/>
    </row>
    <row r="581" spans="1:6" x14ac:dyDescent="0.25">
      <c r="A581" s="21"/>
      <c r="B581" s="21"/>
      <c r="C581" s="21"/>
      <c r="D581" s="21"/>
      <c r="E581" s="21"/>
      <c r="F581" s="21"/>
    </row>
    <row r="582" spans="1:6" x14ac:dyDescent="0.25">
      <c r="A582" s="21"/>
      <c r="B582" s="21"/>
      <c r="C582" s="21"/>
      <c r="D582" s="21"/>
      <c r="E582" s="21"/>
      <c r="F582" s="21"/>
    </row>
    <row r="583" spans="1:6" x14ac:dyDescent="0.25">
      <c r="A583" s="21"/>
      <c r="B583" s="21"/>
      <c r="C583" s="21"/>
      <c r="D583" s="21"/>
      <c r="E583" s="21"/>
      <c r="F583" s="21"/>
    </row>
    <row r="584" spans="1:6" x14ac:dyDescent="0.25">
      <c r="A584" s="21"/>
      <c r="B584" s="21"/>
      <c r="C584" s="21"/>
      <c r="D584" s="21"/>
      <c r="E584" s="21"/>
      <c r="F584" s="21"/>
    </row>
    <row r="585" spans="1:6" x14ac:dyDescent="0.25">
      <c r="A585" s="21"/>
      <c r="B585" s="21"/>
      <c r="C585" s="21"/>
      <c r="D585" s="21"/>
      <c r="E585" s="21"/>
      <c r="F585" s="21"/>
    </row>
    <row r="586" spans="1:6" x14ac:dyDescent="0.25">
      <c r="A586" s="21"/>
      <c r="B586" s="21"/>
      <c r="C586" s="21"/>
      <c r="D586" s="21"/>
      <c r="E586" s="21"/>
      <c r="F586" s="21"/>
    </row>
    <row r="587" spans="1:6" x14ac:dyDescent="0.25">
      <c r="A587" s="21"/>
      <c r="B587" s="21"/>
      <c r="C587" s="21"/>
      <c r="D587" s="21"/>
      <c r="E587" s="21"/>
      <c r="F587" s="21"/>
    </row>
    <row r="588" spans="1:6" x14ac:dyDescent="0.25">
      <c r="A588" s="21"/>
      <c r="B588" s="21"/>
      <c r="C588" s="21"/>
      <c r="D588" s="21"/>
      <c r="E588" s="21"/>
      <c r="F588" s="21"/>
    </row>
    <row r="589" spans="1:6" x14ac:dyDescent="0.25">
      <c r="A589" s="21"/>
      <c r="B589" s="21"/>
      <c r="C589" s="21"/>
      <c r="D589" s="21"/>
      <c r="E589" s="21"/>
      <c r="F589" s="21"/>
    </row>
    <row r="590" spans="1:6" x14ac:dyDescent="0.25">
      <c r="A590" s="21"/>
      <c r="B590" s="21"/>
      <c r="C590" s="21"/>
      <c r="D590" s="21"/>
      <c r="E590" s="21"/>
      <c r="F590" s="21"/>
    </row>
    <row r="591" spans="1:6" x14ac:dyDescent="0.25">
      <c r="A591" s="21"/>
      <c r="B591" s="21"/>
      <c r="C591" s="21"/>
      <c r="D591" s="21"/>
      <c r="E591" s="21"/>
      <c r="F591" s="21"/>
    </row>
    <row r="592" spans="1:6" x14ac:dyDescent="0.25">
      <c r="A592" s="21"/>
      <c r="B592" s="21"/>
      <c r="C592" s="21"/>
      <c r="D592" s="21"/>
      <c r="E592" s="21"/>
      <c r="F592" s="21"/>
    </row>
    <row r="593" spans="1:6" x14ac:dyDescent="0.25">
      <c r="A593" s="21"/>
      <c r="B593" s="21"/>
      <c r="C593" s="21"/>
      <c r="D593" s="21"/>
      <c r="E593" s="21"/>
      <c r="F593" s="21"/>
    </row>
    <row r="594" spans="1:6" x14ac:dyDescent="0.25">
      <c r="A594" s="21"/>
      <c r="B594" s="21"/>
      <c r="C594" s="21"/>
      <c r="D594" s="21"/>
      <c r="E594" s="21"/>
      <c r="F594" s="21"/>
    </row>
    <row r="595" spans="1:6" x14ac:dyDescent="0.25">
      <c r="A595" s="21"/>
      <c r="B595" s="21"/>
      <c r="C595" s="21"/>
      <c r="D595" s="21"/>
      <c r="E595" s="21"/>
      <c r="F595" s="21"/>
    </row>
    <row r="596" spans="1:6" x14ac:dyDescent="0.25">
      <c r="A596" s="21"/>
      <c r="B596" s="21"/>
      <c r="C596" s="21"/>
      <c r="D596" s="21"/>
      <c r="E596" s="21"/>
      <c r="F596" s="21"/>
    </row>
    <row r="597" spans="1:6" x14ac:dyDescent="0.25">
      <c r="A597" s="21"/>
      <c r="B597" s="21"/>
      <c r="C597" s="21"/>
      <c r="D597" s="21"/>
      <c r="E597" s="21"/>
      <c r="F597" s="21"/>
    </row>
    <row r="598" spans="1:6" x14ac:dyDescent="0.25">
      <c r="A598" s="21"/>
      <c r="B598" s="21"/>
      <c r="C598" s="21"/>
      <c r="D598" s="21"/>
      <c r="E598" s="21"/>
      <c r="F598" s="21"/>
    </row>
    <row r="599" spans="1:6" x14ac:dyDescent="0.25">
      <c r="A599" s="21"/>
      <c r="B599" s="21"/>
      <c r="C599" s="21"/>
      <c r="D599" s="21"/>
      <c r="E599" s="21"/>
      <c r="F599" s="21"/>
    </row>
    <row r="600" spans="1:6" x14ac:dyDescent="0.25">
      <c r="A600" s="21"/>
      <c r="B600" s="21"/>
      <c r="C600" s="21"/>
      <c r="D600" s="21"/>
      <c r="E600" s="21"/>
      <c r="F600" s="21"/>
    </row>
    <row r="601" spans="1:6" x14ac:dyDescent="0.25">
      <c r="A601" s="21"/>
      <c r="B601" s="21"/>
      <c r="C601" s="21"/>
      <c r="D601" s="21"/>
      <c r="E601" s="21"/>
      <c r="F601" s="21"/>
    </row>
    <row r="602" spans="1:6" x14ac:dyDescent="0.25">
      <c r="A602" s="21"/>
      <c r="B602" s="21"/>
      <c r="C602" s="21"/>
      <c r="D602" s="21"/>
      <c r="E602" s="21"/>
      <c r="F602" s="21"/>
    </row>
    <row r="603" spans="1:6" x14ac:dyDescent="0.25">
      <c r="A603" s="21"/>
      <c r="B603" s="21"/>
      <c r="C603" s="21"/>
      <c r="D603" s="21"/>
      <c r="E603" s="21"/>
      <c r="F603" s="21"/>
    </row>
    <row r="604" spans="1:6" x14ac:dyDescent="0.25">
      <c r="A604" s="21"/>
      <c r="B604" s="21"/>
      <c r="C604" s="21"/>
      <c r="D604" s="21"/>
      <c r="E604" s="21"/>
      <c r="F604" s="21"/>
    </row>
    <row r="605" spans="1:6" x14ac:dyDescent="0.25">
      <c r="A605" s="21"/>
      <c r="B605" s="21"/>
      <c r="C605" s="21"/>
      <c r="D605" s="21"/>
      <c r="E605" s="21"/>
      <c r="F605" s="21"/>
    </row>
    <row r="606" spans="1:6" x14ac:dyDescent="0.25">
      <c r="A606" s="21"/>
      <c r="B606" s="21"/>
      <c r="C606" s="21"/>
      <c r="D606" s="21"/>
      <c r="E606" s="21"/>
      <c r="F606" s="21"/>
    </row>
    <row r="607" spans="1:6" x14ac:dyDescent="0.25">
      <c r="A607" s="21"/>
      <c r="B607" s="21"/>
      <c r="C607" s="21"/>
      <c r="D607" s="21"/>
      <c r="E607" s="21"/>
      <c r="F607" s="21"/>
    </row>
    <row r="608" spans="1:6" x14ac:dyDescent="0.25">
      <c r="A608" s="21"/>
      <c r="B608" s="21"/>
      <c r="C608" s="21"/>
      <c r="D608" s="21"/>
      <c r="E608" s="21"/>
      <c r="F608" s="21"/>
    </row>
    <row r="609" spans="1:6" x14ac:dyDescent="0.25">
      <c r="A609" s="21"/>
      <c r="B609" s="21"/>
      <c r="C609" s="21"/>
      <c r="D609" s="21"/>
      <c r="E609" s="21"/>
      <c r="F609" s="21"/>
    </row>
    <row r="610" spans="1:6" x14ac:dyDescent="0.25">
      <c r="A610" s="21"/>
      <c r="B610" s="21"/>
      <c r="C610" s="21"/>
      <c r="D610" s="21"/>
      <c r="E610" s="21"/>
      <c r="F610" s="21"/>
    </row>
    <row r="611" spans="1:6" x14ac:dyDescent="0.25">
      <c r="A611" s="21"/>
      <c r="B611" s="21"/>
      <c r="C611" s="21"/>
      <c r="D611" s="21"/>
      <c r="E611" s="21"/>
      <c r="F611" s="21"/>
    </row>
    <row r="612" spans="1:6" x14ac:dyDescent="0.25">
      <c r="A612" s="21"/>
      <c r="B612" s="21"/>
      <c r="C612" s="21"/>
      <c r="D612" s="21"/>
      <c r="E612" s="21"/>
      <c r="F612" s="21"/>
    </row>
    <row r="613" spans="1:6" x14ac:dyDescent="0.25">
      <c r="A613" s="21"/>
      <c r="B613" s="21"/>
      <c r="C613" s="21"/>
      <c r="D613" s="21"/>
      <c r="E613" s="21"/>
      <c r="F613" s="21"/>
    </row>
    <row r="614" spans="1:6" x14ac:dyDescent="0.25">
      <c r="A614" s="21"/>
      <c r="B614" s="21"/>
      <c r="C614" s="21"/>
      <c r="D614" s="21"/>
      <c r="E614" s="21"/>
      <c r="F614" s="21"/>
    </row>
    <row r="615" spans="1:6" x14ac:dyDescent="0.25">
      <c r="A615" s="21"/>
      <c r="B615" s="21"/>
      <c r="C615" s="21"/>
      <c r="D615" s="21"/>
      <c r="E615" s="21"/>
      <c r="F615" s="21"/>
    </row>
    <row r="616" spans="1:6" x14ac:dyDescent="0.25">
      <c r="A616" s="21"/>
      <c r="B616" s="21"/>
      <c r="C616" s="21"/>
      <c r="D616" s="21"/>
      <c r="E616" s="21"/>
      <c r="F616" s="21"/>
    </row>
    <row r="617" spans="1:6" x14ac:dyDescent="0.25">
      <c r="A617" s="21"/>
      <c r="B617" s="21"/>
      <c r="C617" s="21"/>
      <c r="D617" s="21"/>
      <c r="E617" s="21"/>
      <c r="F617" s="21"/>
    </row>
    <row r="618" spans="1:6" x14ac:dyDescent="0.25">
      <c r="A618" s="21"/>
      <c r="B618" s="21"/>
      <c r="C618" s="21"/>
      <c r="D618" s="21"/>
      <c r="E618" s="21"/>
      <c r="F618" s="21"/>
    </row>
    <row r="619" spans="1:6" x14ac:dyDescent="0.25">
      <c r="A619" s="21"/>
      <c r="B619" s="21"/>
      <c r="C619" s="21"/>
      <c r="D619" s="21"/>
      <c r="E619" s="21"/>
      <c r="F619" s="21"/>
    </row>
    <row r="620" spans="1:6" x14ac:dyDescent="0.25">
      <c r="A620" s="21"/>
      <c r="B620" s="21"/>
      <c r="C620" s="21"/>
      <c r="D620" s="21"/>
      <c r="E620" s="21"/>
      <c r="F620" s="21"/>
    </row>
    <row r="621" spans="1:6" x14ac:dyDescent="0.25">
      <c r="A621" s="21"/>
      <c r="B621" s="21"/>
      <c r="C621" s="21"/>
      <c r="D621" s="21"/>
      <c r="E621" s="21"/>
      <c r="F621" s="21"/>
    </row>
    <row r="622" spans="1:6" x14ac:dyDescent="0.25">
      <c r="A622" s="21"/>
      <c r="B622" s="21"/>
      <c r="C622" s="21"/>
      <c r="D622" s="21"/>
      <c r="E622" s="21"/>
      <c r="F622" s="21"/>
    </row>
    <row r="623" spans="1:6" x14ac:dyDescent="0.25">
      <c r="A623" s="21"/>
      <c r="B623" s="21"/>
      <c r="C623" s="21"/>
      <c r="D623" s="21"/>
      <c r="E623" s="21"/>
      <c r="F623" s="21"/>
    </row>
    <row r="624" spans="1:6" x14ac:dyDescent="0.25">
      <c r="A624" s="21"/>
      <c r="B624" s="21"/>
      <c r="C624" s="21"/>
      <c r="D624" s="21"/>
      <c r="E624" s="21"/>
      <c r="F624" s="21"/>
    </row>
    <row r="625" spans="1:6" x14ac:dyDescent="0.25">
      <c r="A625" s="21"/>
      <c r="B625" s="21"/>
      <c r="C625" s="21"/>
      <c r="D625" s="21"/>
      <c r="E625" s="21"/>
      <c r="F625" s="21"/>
    </row>
    <row r="626" spans="1:6" x14ac:dyDescent="0.25">
      <c r="A626" s="21"/>
      <c r="B626" s="21"/>
      <c r="C626" s="21"/>
      <c r="D626" s="21"/>
      <c r="E626" s="21"/>
      <c r="F626" s="21"/>
    </row>
    <row r="627" spans="1:6" x14ac:dyDescent="0.25">
      <c r="A627" s="21"/>
      <c r="B627" s="21"/>
      <c r="C627" s="21"/>
      <c r="D627" s="21"/>
      <c r="E627" s="21"/>
      <c r="F627" s="21"/>
    </row>
    <row r="628" spans="1:6" x14ac:dyDescent="0.25">
      <c r="A628" s="21"/>
      <c r="B628" s="21"/>
      <c r="C628" s="21"/>
      <c r="D628" s="21"/>
      <c r="E628" s="21"/>
      <c r="F628" s="21"/>
    </row>
    <row r="629" spans="1:6" x14ac:dyDescent="0.25">
      <c r="A629" s="21"/>
      <c r="B629" s="21"/>
      <c r="C629" s="21"/>
      <c r="D629" s="21"/>
      <c r="E629" s="21"/>
      <c r="F629" s="21"/>
    </row>
    <row r="630" spans="1:6" x14ac:dyDescent="0.25">
      <c r="A630" s="21"/>
      <c r="B630" s="21"/>
      <c r="C630" s="21"/>
      <c r="D630" s="21"/>
      <c r="E630" s="21"/>
      <c r="F630" s="21"/>
    </row>
    <row r="631" spans="1:6" x14ac:dyDescent="0.25">
      <c r="A631" s="21"/>
      <c r="B631" s="21"/>
      <c r="C631" s="21"/>
      <c r="D631" s="21"/>
      <c r="E631" s="21"/>
      <c r="F631" s="21"/>
    </row>
    <row r="632" spans="1:6" x14ac:dyDescent="0.25">
      <c r="A632" s="21"/>
      <c r="B632" s="21"/>
      <c r="C632" s="21"/>
      <c r="D632" s="21"/>
      <c r="E632" s="21"/>
      <c r="F632" s="21"/>
    </row>
    <row r="633" spans="1:6" x14ac:dyDescent="0.25">
      <c r="A633" s="21"/>
      <c r="B633" s="21"/>
      <c r="C633" s="21"/>
      <c r="D633" s="21"/>
      <c r="E633" s="21"/>
      <c r="F633" s="21"/>
    </row>
    <row r="634" spans="1:6" x14ac:dyDescent="0.25">
      <c r="A634" s="21"/>
      <c r="B634" s="21"/>
      <c r="C634" s="21"/>
      <c r="D634" s="21"/>
      <c r="E634" s="21"/>
      <c r="F634" s="21"/>
    </row>
    <row r="635" spans="1:6" x14ac:dyDescent="0.25">
      <c r="A635" s="21"/>
      <c r="B635" s="21"/>
      <c r="C635" s="21"/>
      <c r="D635" s="21"/>
      <c r="E635" s="21"/>
      <c r="F635" s="21"/>
    </row>
    <row r="636" spans="1:6" x14ac:dyDescent="0.25">
      <c r="A636" s="21"/>
      <c r="B636" s="21"/>
      <c r="C636" s="21"/>
      <c r="D636" s="21"/>
      <c r="E636" s="21"/>
      <c r="F636" s="21"/>
    </row>
    <row r="637" spans="1:6" x14ac:dyDescent="0.25">
      <c r="A637" s="21"/>
      <c r="B637" s="21"/>
      <c r="C637" s="21"/>
      <c r="D637" s="21"/>
      <c r="E637" s="21"/>
      <c r="F637" s="21"/>
    </row>
    <row r="638" spans="1:6" x14ac:dyDescent="0.25">
      <c r="A638" s="21"/>
      <c r="B638" s="21"/>
      <c r="C638" s="21"/>
      <c r="D638" s="21"/>
      <c r="E638" s="21"/>
      <c r="F638" s="21"/>
    </row>
    <row r="639" spans="1:6" x14ac:dyDescent="0.25">
      <c r="A639" s="21"/>
      <c r="B639" s="21"/>
      <c r="C639" s="21"/>
      <c r="D639" s="21"/>
      <c r="E639" s="21"/>
      <c r="F639" s="21"/>
    </row>
    <row r="640" spans="1:6" x14ac:dyDescent="0.25">
      <c r="A640" s="21"/>
      <c r="B640" s="21"/>
      <c r="C640" s="21"/>
      <c r="D640" s="21"/>
      <c r="E640" s="21"/>
      <c r="F640" s="21"/>
    </row>
    <row r="641" spans="1:6" x14ac:dyDescent="0.25">
      <c r="A641" s="21"/>
      <c r="B641" s="21"/>
      <c r="C641" s="21"/>
      <c r="D641" s="21"/>
      <c r="E641" s="21"/>
      <c r="F641" s="21"/>
    </row>
    <row r="642" spans="1:6" x14ac:dyDescent="0.25">
      <c r="A642" s="21"/>
      <c r="B642" s="21"/>
      <c r="C642" s="21"/>
      <c r="D642" s="21"/>
      <c r="E642" s="21"/>
      <c r="F642" s="21"/>
    </row>
    <row r="643" spans="1:6" x14ac:dyDescent="0.25">
      <c r="A643" s="21"/>
      <c r="B643" s="21"/>
      <c r="C643" s="21"/>
      <c r="D643" s="21"/>
      <c r="E643" s="21"/>
      <c r="F643" s="21"/>
    </row>
    <row r="644" spans="1:6" x14ac:dyDescent="0.25">
      <c r="A644" s="21"/>
      <c r="B644" s="21"/>
      <c r="C644" s="21"/>
      <c r="D644" s="21"/>
      <c r="E644" s="21"/>
      <c r="F644" s="21"/>
    </row>
    <row r="645" spans="1:6" x14ac:dyDescent="0.25">
      <c r="A645" s="21"/>
      <c r="B645" s="21"/>
      <c r="C645" s="21"/>
      <c r="D645" s="21"/>
      <c r="E645" s="21"/>
      <c r="F645" s="21"/>
    </row>
    <row r="646" spans="1:6" x14ac:dyDescent="0.25">
      <c r="A646" s="21"/>
      <c r="B646" s="21"/>
      <c r="C646" s="21"/>
      <c r="D646" s="21"/>
      <c r="E646" s="21"/>
      <c r="F646" s="21"/>
    </row>
    <row r="647" spans="1:6" x14ac:dyDescent="0.25">
      <c r="A647" s="21"/>
      <c r="B647" s="21"/>
      <c r="C647" s="21"/>
      <c r="D647" s="21"/>
      <c r="E647" s="21"/>
      <c r="F647" s="21"/>
    </row>
    <row r="648" spans="1:6" x14ac:dyDescent="0.25">
      <c r="A648" s="21"/>
      <c r="B648" s="21"/>
      <c r="C648" s="21"/>
      <c r="D648" s="21"/>
      <c r="E648" s="21"/>
      <c r="F648" s="21"/>
    </row>
    <row r="649" spans="1:6" x14ac:dyDescent="0.25">
      <c r="A649" s="21"/>
      <c r="B649" s="21"/>
      <c r="C649" s="21"/>
      <c r="D649" s="21"/>
      <c r="E649" s="21"/>
      <c r="F649" s="21"/>
    </row>
    <row r="650" spans="1:6" x14ac:dyDescent="0.25">
      <c r="A650" s="21"/>
      <c r="B650" s="21"/>
      <c r="C650" s="21"/>
      <c r="D650" s="21"/>
      <c r="E650" s="21"/>
      <c r="F650" s="21"/>
    </row>
    <row r="651" spans="1:6" x14ac:dyDescent="0.25">
      <c r="A651" s="21"/>
      <c r="B651" s="21"/>
      <c r="C651" s="21"/>
      <c r="D651" s="21"/>
      <c r="E651" s="21"/>
      <c r="F651" s="21"/>
    </row>
    <row r="652" spans="1:6" x14ac:dyDescent="0.25">
      <c r="A652" s="21"/>
      <c r="B652" s="21"/>
      <c r="C652" s="21"/>
      <c r="D652" s="21"/>
      <c r="E652" s="21"/>
      <c r="F652" s="21"/>
    </row>
    <row r="653" spans="1:6" x14ac:dyDescent="0.25">
      <c r="A653" s="21"/>
      <c r="B653" s="21"/>
      <c r="C653" s="21"/>
      <c r="D653" s="21"/>
      <c r="E653" s="21"/>
      <c r="F653" s="21"/>
    </row>
    <row r="654" spans="1:6" x14ac:dyDescent="0.25">
      <c r="A654" s="21"/>
      <c r="B654" s="21"/>
      <c r="C654" s="21"/>
      <c r="D654" s="21"/>
      <c r="E654" s="21"/>
      <c r="F654" s="21"/>
    </row>
    <row r="655" spans="1:6" x14ac:dyDescent="0.25">
      <c r="A655" s="21"/>
      <c r="B655" s="21"/>
      <c r="C655" s="21"/>
      <c r="D655" s="21"/>
      <c r="E655" s="21"/>
      <c r="F655" s="21"/>
    </row>
    <row r="656" spans="1:6" x14ac:dyDescent="0.25">
      <c r="A656" s="21"/>
      <c r="B656" s="21"/>
      <c r="C656" s="21"/>
      <c r="D656" s="21"/>
      <c r="E656" s="21"/>
      <c r="F656" s="21"/>
    </row>
    <row r="657" spans="1:6" x14ac:dyDescent="0.25">
      <c r="A657" s="21"/>
      <c r="B657" s="21"/>
      <c r="C657" s="21"/>
      <c r="D657" s="21"/>
      <c r="E657" s="21"/>
      <c r="F657" s="21"/>
    </row>
    <row r="658" spans="1:6" x14ac:dyDescent="0.25">
      <c r="A658" s="21"/>
      <c r="B658" s="21"/>
      <c r="C658" s="21"/>
      <c r="D658" s="21"/>
      <c r="E658" s="21"/>
      <c r="F658" s="21"/>
    </row>
    <row r="659" spans="1:6" x14ac:dyDescent="0.25">
      <c r="A659" s="21"/>
      <c r="B659" s="21"/>
      <c r="C659" s="21"/>
      <c r="D659" s="21"/>
      <c r="E659" s="21"/>
      <c r="F659" s="21"/>
    </row>
    <row r="660" spans="1:6" x14ac:dyDescent="0.25">
      <c r="A660" s="21"/>
      <c r="B660" s="21"/>
      <c r="C660" s="21"/>
      <c r="D660" s="21"/>
      <c r="E660" s="21"/>
      <c r="F660" s="21"/>
    </row>
    <row r="661" spans="1:6" x14ac:dyDescent="0.25">
      <c r="A661" s="21"/>
      <c r="B661" s="21"/>
      <c r="C661" s="21"/>
      <c r="D661" s="21"/>
      <c r="E661" s="21"/>
      <c r="F661" s="21"/>
    </row>
    <row r="662" spans="1:6" x14ac:dyDescent="0.25">
      <c r="A662" s="21"/>
      <c r="B662" s="21"/>
      <c r="C662" s="21"/>
      <c r="D662" s="21"/>
      <c r="E662" s="21"/>
      <c r="F662" s="21"/>
    </row>
    <row r="663" spans="1:6" x14ac:dyDescent="0.25">
      <c r="A663" s="21"/>
      <c r="B663" s="21"/>
      <c r="C663" s="21"/>
      <c r="D663" s="21"/>
      <c r="E663" s="21"/>
      <c r="F663" s="21"/>
    </row>
    <row r="664" spans="1:6" x14ac:dyDescent="0.25">
      <c r="A664" s="21"/>
      <c r="B664" s="21"/>
      <c r="C664" s="21"/>
      <c r="D664" s="21"/>
      <c r="E664" s="21"/>
      <c r="F664" s="21"/>
    </row>
    <row r="665" spans="1:6" x14ac:dyDescent="0.25">
      <c r="A665" s="21"/>
      <c r="B665" s="21"/>
      <c r="C665" s="21"/>
      <c r="D665" s="21"/>
      <c r="E665" s="21"/>
      <c r="F665" s="21"/>
    </row>
    <row r="666" spans="1:6" x14ac:dyDescent="0.25">
      <c r="A666" s="21"/>
      <c r="B666" s="21"/>
      <c r="C666" s="21"/>
      <c r="D666" s="21"/>
      <c r="E666" s="21"/>
      <c r="F666" s="21"/>
    </row>
    <row r="667" spans="1:6" x14ac:dyDescent="0.25">
      <c r="A667" s="21"/>
      <c r="B667" s="21"/>
      <c r="C667" s="21"/>
      <c r="D667" s="21"/>
      <c r="E667" s="21"/>
      <c r="F667" s="21"/>
    </row>
    <row r="668" spans="1:6" x14ac:dyDescent="0.25">
      <c r="A668" s="21"/>
      <c r="B668" s="21"/>
      <c r="C668" s="21"/>
      <c r="D668" s="21"/>
      <c r="E668" s="21"/>
      <c r="F668" s="21"/>
    </row>
    <row r="669" spans="1:6" x14ac:dyDescent="0.25">
      <c r="A669" s="21"/>
      <c r="B669" s="21"/>
      <c r="C669" s="21"/>
      <c r="D669" s="21"/>
      <c r="E669" s="21"/>
      <c r="F669" s="21"/>
    </row>
    <row r="670" spans="1:6" x14ac:dyDescent="0.25">
      <c r="A670" s="21"/>
      <c r="B670" s="21"/>
      <c r="C670" s="21"/>
      <c r="D670" s="21"/>
      <c r="E670" s="21"/>
      <c r="F670" s="21"/>
    </row>
    <row r="671" spans="1:6" x14ac:dyDescent="0.25">
      <c r="A671" s="21"/>
      <c r="B671" s="21"/>
      <c r="C671" s="21"/>
      <c r="D671" s="21"/>
      <c r="E671" s="21"/>
      <c r="F671" s="21"/>
    </row>
    <row r="672" spans="1:6" x14ac:dyDescent="0.25">
      <c r="A672" s="21"/>
      <c r="B672" s="21"/>
      <c r="C672" s="21"/>
      <c r="D672" s="21"/>
      <c r="E672" s="21"/>
      <c r="F672" s="21"/>
    </row>
    <row r="673" spans="1:6" x14ac:dyDescent="0.25">
      <c r="A673" s="21"/>
      <c r="B673" s="21"/>
      <c r="C673" s="21"/>
      <c r="D673" s="21"/>
      <c r="E673" s="21"/>
      <c r="F673" s="21"/>
    </row>
    <row r="674" spans="1:6" x14ac:dyDescent="0.25">
      <c r="A674" s="21"/>
      <c r="B674" s="21"/>
      <c r="C674" s="21"/>
      <c r="D674" s="21"/>
      <c r="E674" s="21"/>
      <c r="F674" s="21"/>
    </row>
    <row r="675" spans="1:6" x14ac:dyDescent="0.25">
      <c r="A675" s="21"/>
      <c r="B675" s="21"/>
      <c r="C675" s="21"/>
      <c r="D675" s="21"/>
      <c r="E675" s="21"/>
      <c r="F675" s="21"/>
    </row>
    <row r="676" spans="1:6" x14ac:dyDescent="0.25">
      <c r="A676" s="21"/>
      <c r="B676" s="21"/>
      <c r="C676" s="21"/>
      <c r="D676" s="21"/>
      <c r="E676" s="21"/>
      <c r="F676" s="21"/>
    </row>
    <row r="677" spans="1:6" x14ac:dyDescent="0.25">
      <c r="A677" s="21"/>
      <c r="B677" s="21"/>
      <c r="C677" s="21"/>
      <c r="D677" s="21"/>
      <c r="E677" s="21"/>
      <c r="F677" s="21"/>
    </row>
    <row r="678" spans="1:6" x14ac:dyDescent="0.25">
      <c r="A678" s="21"/>
      <c r="B678" s="21"/>
      <c r="C678" s="21"/>
      <c r="D678" s="21"/>
      <c r="E678" s="21"/>
      <c r="F678" s="21"/>
    </row>
    <row r="679" spans="1:6" x14ac:dyDescent="0.25">
      <c r="A679" s="21"/>
      <c r="B679" s="21"/>
      <c r="C679" s="21"/>
      <c r="D679" s="21"/>
      <c r="E679" s="21"/>
      <c r="F679" s="21"/>
    </row>
    <row r="680" spans="1:6" x14ac:dyDescent="0.25">
      <c r="A680" s="21"/>
      <c r="B680" s="21"/>
      <c r="C680" s="21"/>
      <c r="D680" s="21"/>
      <c r="E680" s="21"/>
      <c r="F680" s="21"/>
    </row>
    <row r="681" spans="1:6" x14ac:dyDescent="0.25">
      <c r="A681" s="21"/>
      <c r="B681" s="21"/>
      <c r="C681" s="21"/>
      <c r="D681" s="21"/>
      <c r="E681" s="21"/>
      <c r="F681" s="21"/>
    </row>
    <row r="682" spans="1:6" x14ac:dyDescent="0.25">
      <c r="A682" s="21"/>
      <c r="B682" s="21"/>
      <c r="C682" s="21"/>
      <c r="D682" s="21"/>
      <c r="E682" s="21"/>
      <c r="F682" s="21"/>
    </row>
    <row r="683" spans="1:6" x14ac:dyDescent="0.25">
      <c r="A683" s="21"/>
      <c r="B683" s="21"/>
      <c r="C683" s="21"/>
      <c r="D683" s="21"/>
      <c r="E683" s="21"/>
      <c r="F683" s="21"/>
    </row>
    <row r="684" spans="1:6" x14ac:dyDescent="0.25">
      <c r="A684" s="21"/>
      <c r="B684" s="21"/>
      <c r="C684" s="21"/>
      <c r="D684" s="21"/>
      <c r="E684" s="21"/>
      <c r="F684" s="21"/>
    </row>
    <row r="685" spans="1:6" x14ac:dyDescent="0.25">
      <c r="A685" s="21"/>
      <c r="B685" s="21"/>
      <c r="C685" s="21"/>
      <c r="D685" s="21"/>
      <c r="E685" s="21"/>
      <c r="F685" s="21"/>
    </row>
    <row r="686" spans="1:6" x14ac:dyDescent="0.25">
      <c r="A686" s="21"/>
      <c r="B686" s="21"/>
      <c r="C686" s="21"/>
      <c r="D686" s="21"/>
      <c r="E686" s="21"/>
      <c r="F686" s="21"/>
    </row>
    <row r="687" spans="1:6" x14ac:dyDescent="0.25">
      <c r="A687" s="21"/>
      <c r="B687" s="21"/>
      <c r="C687" s="21"/>
      <c r="D687" s="21"/>
      <c r="E687" s="21"/>
      <c r="F687" s="21"/>
    </row>
    <row r="688" spans="1:6" x14ac:dyDescent="0.25">
      <c r="A688" s="21"/>
      <c r="B688" s="21"/>
      <c r="C688" s="21"/>
      <c r="D688" s="21"/>
      <c r="E688" s="21"/>
      <c r="F688" s="21"/>
    </row>
    <row r="689" spans="1:6" x14ac:dyDescent="0.25">
      <c r="A689" s="21"/>
      <c r="B689" s="21"/>
      <c r="C689" s="21"/>
      <c r="D689" s="21"/>
      <c r="E689" s="21"/>
      <c r="F689" s="21"/>
    </row>
    <row r="690" spans="1:6" x14ac:dyDescent="0.25">
      <c r="A690" s="21"/>
      <c r="B690" s="21"/>
      <c r="C690" s="21"/>
      <c r="D690" s="21"/>
      <c r="E690" s="21"/>
      <c r="F690" s="21"/>
    </row>
    <row r="691" spans="1:6" x14ac:dyDescent="0.25">
      <c r="A691" s="21"/>
      <c r="B691" s="21"/>
      <c r="C691" s="21"/>
      <c r="D691" s="21"/>
      <c r="E691" s="21"/>
      <c r="F691" s="21"/>
    </row>
    <row r="692" spans="1:6" x14ac:dyDescent="0.25">
      <c r="A692" s="21"/>
      <c r="B692" s="21"/>
      <c r="C692" s="21"/>
      <c r="D692" s="21"/>
      <c r="E692" s="21"/>
      <c r="F692" s="21"/>
    </row>
    <row r="693" spans="1:6" x14ac:dyDescent="0.25">
      <c r="A693" s="21"/>
      <c r="B693" s="21"/>
      <c r="C693" s="21"/>
      <c r="D693" s="21"/>
      <c r="E693" s="21"/>
      <c r="F693" s="21"/>
    </row>
    <row r="694" spans="1:6" x14ac:dyDescent="0.25">
      <c r="A694" s="21"/>
      <c r="B694" s="21"/>
      <c r="C694" s="21"/>
      <c r="D694" s="21"/>
      <c r="E694" s="21"/>
      <c r="F694" s="21"/>
    </row>
    <row r="695" spans="1:6" x14ac:dyDescent="0.25">
      <c r="A695" s="21"/>
      <c r="B695" s="21"/>
      <c r="C695" s="21"/>
      <c r="D695" s="21"/>
      <c r="E695" s="21"/>
      <c r="F695" s="21"/>
    </row>
    <row r="696" spans="1:6" x14ac:dyDescent="0.25">
      <c r="A696" s="21"/>
      <c r="B696" s="21"/>
      <c r="C696" s="21"/>
      <c r="D696" s="21"/>
      <c r="E696" s="21"/>
      <c r="F696" s="21"/>
    </row>
    <row r="697" spans="1:6" x14ac:dyDescent="0.25">
      <c r="A697" s="21"/>
      <c r="B697" s="21"/>
      <c r="C697" s="21"/>
      <c r="D697" s="21"/>
      <c r="E697" s="21"/>
      <c r="F697" s="21"/>
    </row>
    <row r="698" spans="1:6" x14ac:dyDescent="0.25">
      <c r="A698" s="21"/>
      <c r="B698" s="21"/>
      <c r="C698" s="21"/>
      <c r="D698" s="21"/>
      <c r="E698" s="21"/>
      <c r="F698" s="21"/>
    </row>
    <row r="699" spans="1:6" x14ac:dyDescent="0.25">
      <c r="A699" s="21"/>
      <c r="B699" s="21"/>
      <c r="C699" s="21"/>
      <c r="D699" s="21"/>
      <c r="E699" s="21"/>
      <c r="F699" s="21"/>
    </row>
    <row r="700" spans="1:6" x14ac:dyDescent="0.25">
      <c r="A700" s="21"/>
      <c r="B700" s="21"/>
      <c r="C700" s="21"/>
      <c r="D700" s="21"/>
      <c r="E700" s="21"/>
      <c r="F700" s="21"/>
    </row>
    <row r="701" spans="1:6" x14ac:dyDescent="0.25">
      <c r="A701" s="21"/>
      <c r="B701" s="21"/>
      <c r="C701" s="21"/>
      <c r="D701" s="21"/>
      <c r="E701" s="21"/>
      <c r="F701" s="21"/>
    </row>
    <row r="702" spans="1:6" x14ac:dyDescent="0.25">
      <c r="A702" s="21"/>
      <c r="B702" s="21"/>
      <c r="C702" s="21"/>
      <c r="D702" s="21"/>
      <c r="E702" s="21"/>
      <c r="F702" s="21"/>
    </row>
    <row r="703" spans="1:6" x14ac:dyDescent="0.25">
      <c r="A703" s="21"/>
      <c r="B703" s="21"/>
      <c r="C703" s="21"/>
      <c r="D703" s="21"/>
      <c r="E703" s="21"/>
      <c r="F703" s="21"/>
    </row>
    <row r="704" spans="1:6" x14ac:dyDescent="0.25">
      <c r="A704" s="21"/>
      <c r="B704" s="21"/>
      <c r="C704" s="21"/>
      <c r="D704" s="21"/>
      <c r="E704" s="21"/>
      <c r="F704" s="21"/>
    </row>
    <row r="705" spans="1:6" x14ac:dyDescent="0.25">
      <c r="A705" s="21"/>
      <c r="B705" s="21"/>
      <c r="C705" s="21"/>
      <c r="D705" s="21"/>
      <c r="E705" s="21"/>
      <c r="F705" s="21"/>
    </row>
    <row r="706" spans="1:6" x14ac:dyDescent="0.25">
      <c r="A706" s="21"/>
      <c r="B706" s="21"/>
      <c r="C706" s="21"/>
      <c r="D706" s="21"/>
      <c r="E706" s="21"/>
      <c r="F706" s="21"/>
    </row>
    <row r="707" spans="1:6" x14ac:dyDescent="0.25">
      <c r="A707" s="21"/>
      <c r="B707" s="21"/>
      <c r="C707" s="21"/>
      <c r="D707" s="21"/>
      <c r="E707" s="21"/>
      <c r="F707" s="21"/>
    </row>
    <row r="708" spans="1:6" x14ac:dyDescent="0.25">
      <c r="A708" s="21"/>
      <c r="B708" s="21"/>
      <c r="C708" s="21"/>
      <c r="D708" s="21"/>
      <c r="E708" s="21"/>
      <c r="F708" s="21"/>
    </row>
    <row r="709" spans="1:6" x14ac:dyDescent="0.25">
      <c r="A709" s="21"/>
      <c r="B709" s="21"/>
      <c r="C709" s="21"/>
      <c r="D709" s="21"/>
      <c r="E709" s="21"/>
      <c r="F709" s="21"/>
    </row>
    <row r="710" spans="1:6" x14ac:dyDescent="0.25">
      <c r="A710" s="21"/>
      <c r="B710" s="21"/>
      <c r="C710" s="21"/>
      <c r="D710" s="21"/>
      <c r="E710" s="21"/>
      <c r="F710" s="21"/>
    </row>
    <row r="711" spans="1:6" x14ac:dyDescent="0.25">
      <c r="A711" s="21"/>
      <c r="B711" s="21"/>
      <c r="C711" s="21"/>
      <c r="D711" s="21"/>
      <c r="E711" s="21"/>
      <c r="F711" s="21"/>
    </row>
    <row r="712" spans="1:6" x14ac:dyDescent="0.25">
      <c r="A712" s="21"/>
      <c r="B712" s="21"/>
      <c r="C712" s="21"/>
      <c r="D712" s="21"/>
      <c r="E712" s="21"/>
      <c r="F712" s="21"/>
    </row>
    <row r="713" spans="1:6" x14ac:dyDescent="0.25">
      <c r="A713" s="21"/>
      <c r="B713" s="21"/>
      <c r="C713" s="21"/>
      <c r="D713" s="21"/>
      <c r="E713" s="21"/>
      <c r="F713" s="21"/>
    </row>
    <row r="714" spans="1:6" x14ac:dyDescent="0.25">
      <c r="A714" s="21"/>
      <c r="B714" s="21"/>
      <c r="C714" s="21"/>
      <c r="D714" s="21"/>
      <c r="E714" s="21"/>
      <c r="F714" s="21"/>
    </row>
    <row r="715" spans="1:6" x14ac:dyDescent="0.25">
      <c r="A715" s="21"/>
      <c r="B715" s="21"/>
      <c r="C715" s="21"/>
      <c r="D715" s="21"/>
      <c r="E715" s="21"/>
      <c r="F715" s="21"/>
    </row>
    <row r="716" spans="1:6" x14ac:dyDescent="0.25">
      <c r="A716" s="21"/>
      <c r="B716" s="21"/>
      <c r="C716" s="21"/>
      <c r="D716" s="21"/>
      <c r="E716" s="21"/>
      <c r="F716" s="21"/>
    </row>
    <row r="717" spans="1:6" x14ac:dyDescent="0.25">
      <c r="A717" s="21"/>
      <c r="B717" s="21"/>
      <c r="C717" s="21"/>
      <c r="D717" s="21"/>
      <c r="E717" s="21"/>
      <c r="F717" s="21"/>
    </row>
    <row r="718" spans="1:6" x14ac:dyDescent="0.25">
      <c r="A718" s="21"/>
      <c r="B718" s="21"/>
      <c r="C718" s="21"/>
      <c r="D718" s="21"/>
      <c r="E718" s="21"/>
      <c r="F718" s="21"/>
    </row>
    <row r="719" spans="1:6" x14ac:dyDescent="0.25">
      <c r="A719" s="21"/>
      <c r="B719" s="21"/>
      <c r="C719" s="21"/>
      <c r="D719" s="21"/>
      <c r="E719" s="21"/>
      <c r="F719" s="21"/>
    </row>
    <row r="720" spans="1:6" x14ac:dyDescent="0.25">
      <c r="A720" s="21"/>
      <c r="B720" s="21"/>
      <c r="C720" s="21"/>
      <c r="D720" s="21"/>
      <c r="E720" s="21"/>
      <c r="F720" s="21"/>
    </row>
    <row r="721" spans="1:6" x14ac:dyDescent="0.25">
      <c r="A721" s="21"/>
      <c r="B721" s="21"/>
      <c r="C721" s="21"/>
      <c r="D721" s="21"/>
      <c r="E721" s="21"/>
      <c r="F721" s="21"/>
    </row>
    <row r="722" spans="1:6" x14ac:dyDescent="0.25">
      <c r="A722" s="21"/>
      <c r="B722" s="21"/>
      <c r="C722" s="21"/>
      <c r="D722" s="21"/>
      <c r="E722" s="21"/>
      <c r="F722" s="21"/>
    </row>
    <row r="723" spans="1:6" x14ac:dyDescent="0.25">
      <c r="A723" s="21"/>
      <c r="B723" s="21"/>
      <c r="C723" s="21"/>
      <c r="D723" s="21"/>
      <c r="E723" s="21"/>
      <c r="F723" s="21"/>
    </row>
    <row r="724" spans="1:6" x14ac:dyDescent="0.25">
      <c r="A724" s="21"/>
      <c r="B724" s="21"/>
      <c r="C724" s="21"/>
      <c r="D724" s="21"/>
      <c r="E724" s="21"/>
      <c r="F724" s="21"/>
    </row>
    <row r="725" spans="1:6" x14ac:dyDescent="0.25">
      <c r="A725" s="21"/>
      <c r="B725" s="21"/>
      <c r="C725" s="21"/>
      <c r="D725" s="21"/>
      <c r="E725" s="21"/>
      <c r="F725" s="21"/>
    </row>
    <row r="726" spans="1:6" x14ac:dyDescent="0.25">
      <c r="A726" s="21"/>
      <c r="B726" s="21"/>
      <c r="C726" s="21"/>
      <c r="D726" s="21"/>
      <c r="E726" s="21"/>
      <c r="F726" s="21"/>
    </row>
    <row r="727" spans="1:6" x14ac:dyDescent="0.25">
      <c r="A727" s="21"/>
      <c r="B727" s="21"/>
      <c r="C727" s="21"/>
      <c r="D727" s="21"/>
      <c r="E727" s="21"/>
      <c r="F727" s="21"/>
    </row>
    <row r="728" spans="1:6" x14ac:dyDescent="0.25">
      <c r="A728" s="21"/>
      <c r="B728" s="21"/>
      <c r="C728" s="21"/>
      <c r="D728" s="21"/>
      <c r="E728" s="21"/>
      <c r="F728" s="21"/>
    </row>
    <row r="729" spans="1:6" x14ac:dyDescent="0.25">
      <c r="A729" s="21"/>
      <c r="B729" s="21"/>
      <c r="C729" s="21"/>
      <c r="D729" s="21"/>
      <c r="E729" s="21"/>
      <c r="F729" s="21"/>
    </row>
    <row r="730" spans="1:6" x14ac:dyDescent="0.25">
      <c r="A730" s="21"/>
      <c r="B730" s="21"/>
      <c r="C730" s="21"/>
      <c r="D730" s="21"/>
      <c r="E730" s="21"/>
      <c r="F730" s="21"/>
    </row>
    <row r="731" spans="1:6" x14ac:dyDescent="0.25">
      <c r="A731" s="21"/>
      <c r="B731" s="21"/>
      <c r="C731" s="21"/>
      <c r="D731" s="21"/>
      <c r="E731" s="21"/>
      <c r="F731" s="21"/>
    </row>
    <row r="732" spans="1:6" x14ac:dyDescent="0.25">
      <c r="A732" s="21"/>
      <c r="B732" s="21"/>
      <c r="C732" s="21"/>
      <c r="D732" s="21"/>
      <c r="E732" s="21"/>
      <c r="F732" s="21"/>
    </row>
    <row r="733" spans="1:6" x14ac:dyDescent="0.25">
      <c r="A733" s="21"/>
      <c r="B733" s="21"/>
      <c r="C733" s="21"/>
      <c r="D733" s="21"/>
      <c r="E733" s="21"/>
      <c r="F733" s="21"/>
    </row>
    <row r="734" spans="1:6" x14ac:dyDescent="0.25">
      <c r="A734" s="21"/>
      <c r="B734" s="21"/>
      <c r="C734" s="21"/>
      <c r="D734" s="21"/>
      <c r="E734" s="21"/>
      <c r="F734" s="21"/>
    </row>
    <row r="735" spans="1:6" x14ac:dyDescent="0.25">
      <c r="A735" s="21"/>
      <c r="B735" s="21"/>
      <c r="C735" s="21"/>
      <c r="D735" s="21"/>
      <c r="E735" s="21"/>
      <c r="F735" s="21"/>
    </row>
    <row r="736" spans="1:6" x14ac:dyDescent="0.25">
      <c r="A736" s="21"/>
      <c r="B736" s="21"/>
      <c r="C736" s="21"/>
      <c r="D736" s="21"/>
      <c r="E736" s="21"/>
      <c r="F736" s="21"/>
    </row>
    <row r="737" spans="1:6" x14ac:dyDescent="0.25">
      <c r="A737" s="21"/>
      <c r="B737" s="21"/>
      <c r="C737" s="21"/>
      <c r="D737" s="21"/>
      <c r="E737" s="21"/>
      <c r="F737" s="21"/>
    </row>
    <row r="738" spans="1:6" x14ac:dyDescent="0.25">
      <c r="A738" s="21"/>
      <c r="B738" s="21"/>
      <c r="C738" s="21"/>
      <c r="D738" s="21"/>
      <c r="E738" s="21"/>
      <c r="F738" s="21"/>
    </row>
    <row r="739" spans="1:6" x14ac:dyDescent="0.25">
      <c r="A739" s="21"/>
      <c r="B739" s="21"/>
      <c r="C739" s="21"/>
      <c r="D739" s="21"/>
      <c r="E739" s="21"/>
      <c r="F739" s="21"/>
    </row>
    <row r="740" spans="1:6" x14ac:dyDescent="0.25">
      <c r="A740" s="21"/>
      <c r="B740" s="21"/>
      <c r="C740" s="21"/>
      <c r="D740" s="21"/>
      <c r="E740" s="21"/>
      <c r="F740" s="21"/>
    </row>
    <row r="741" spans="1:6" x14ac:dyDescent="0.25">
      <c r="A741" s="21"/>
      <c r="B741" s="21"/>
      <c r="C741" s="21"/>
      <c r="D741" s="21"/>
      <c r="E741" s="21"/>
      <c r="F741" s="21"/>
    </row>
    <row r="742" spans="1:6" x14ac:dyDescent="0.25">
      <c r="A742" s="21"/>
      <c r="B742" s="21"/>
      <c r="C742" s="21"/>
      <c r="D742" s="21"/>
      <c r="E742" s="21"/>
      <c r="F742" s="21"/>
    </row>
    <row r="743" spans="1:6" x14ac:dyDescent="0.25">
      <c r="A743" s="21"/>
      <c r="B743" s="21"/>
      <c r="C743" s="21"/>
      <c r="D743" s="21"/>
      <c r="E743" s="21"/>
      <c r="F743" s="21"/>
    </row>
    <row r="744" spans="1:6" x14ac:dyDescent="0.25">
      <c r="A744" s="21"/>
      <c r="B744" s="21"/>
      <c r="C744" s="21"/>
      <c r="D744" s="21"/>
      <c r="E744" s="21"/>
      <c r="F744" s="21"/>
    </row>
    <row r="745" spans="1:6" x14ac:dyDescent="0.25">
      <c r="A745" s="21"/>
      <c r="B745" s="21"/>
      <c r="C745" s="21"/>
      <c r="D745" s="21"/>
      <c r="E745" s="21"/>
      <c r="F745" s="21"/>
    </row>
    <row r="746" spans="1:6" x14ac:dyDescent="0.25">
      <c r="A746" s="21"/>
      <c r="B746" s="21"/>
      <c r="C746" s="21"/>
      <c r="D746" s="21"/>
      <c r="E746" s="21"/>
      <c r="F746" s="21"/>
    </row>
    <row r="747" spans="1:6" x14ac:dyDescent="0.25">
      <c r="A747" s="21"/>
      <c r="B747" s="21"/>
      <c r="C747" s="21"/>
      <c r="D747" s="21"/>
      <c r="E747" s="21"/>
      <c r="F747" s="21"/>
    </row>
    <row r="748" spans="1:6" x14ac:dyDescent="0.25">
      <c r="A748" s="21"/>
      <c r="B748" s="21"/>
      <c r="C748" s="21"/>
      <c r="D748" s="21"/>
      <c r="E748" s="21"/>
      <c r="F748" s="21"/>
    </row>
    <row r="749" spans="1:6" x14ac:dyDescent="0.25">
      <c r="A749" s="21"/>
      <c r="B749" s="21"/>
      <c r="C749" s="21"/>
      <c r="D749" s="21"/>
      <c r="E749" s="21"/>
      <c r="F749" s="21"/>
    </row>
    <row r="750" spans="1:6" x14ac:dyDescent="0.25">
      <c r="A750" s="21"/>
      <c r="B750" s="21"/>
      <c r="C750" s="21"/>
      <c r="D750" s="21"/>
      <c r="E750" s="21"/>
      <c r="F750" s="21"/>
    </row>
    <row r="751" spans="1:6" x14ac:dyDescent="0.25">
      <c r="A751" s="21"/>
      <c r="B751" s="21"/>
      <c r="C751" s="21"/>
      <c r="D751" s="21"/>
      <c r="E751" s="21"/>
      <c r="F751" s="21"/>
    </row>
    <row r="752" spans="1:6" x14ac:dyDescent="0.25">
      <c r="A752" s="21"/>
      <c r="B752" s="21"/>
      <c r="C752" s="21"/>
      <c r="D752" s="21"/>
      <c r="E752" s="21"/>
      <c r="F752" s="21"/>
    </row>
    <row r="753" spans="1:6" x14ac:dyDescent="0.25">
      <c r="A753" s="21"/>
      <c r="B753" s="21"/>
      <c r="C753" s="21"/>
      <c r="D753" s="21"/>
      <c r="E753" s="21"/>
      <c r="F753" s="21"/>
    </row>
    <row r="754" spans="1:6" x14ac:dyDescent="0.25">
      <c r="A754" s="21"/>
      <c r="B754" s="21"/>
      <c r="C754" s="21"/>
      <c r="D754" s="21"/>
      <c r="E754" s="21"/>
      <c r="F754" s="21"/>
    </row>
    <row r="755" spans="1:6" x14ac:dyDescent="0.25">
      <c r="A755" s="21"/>
      <c r="B755" s="21"/>
      <c r="C755" s="21"/>
      <c r="D755" s="21"/>
      <c r="E755" s="21"/>
      <c r="F755" s="21"/>
    </row>
    <row r="756" spans="1:6" x14ac:dyDescent="0.25">
      <c r="A756" s="21"/>
      <c r="B756" s="21"/>
      <c r="C756" s="21"/>
      <c r="D756" s="21"/>
      <c r="E756" s="21"/>
      <c r="F756" s="21"/>
    </row>
    <row r="757" spans="1:6" x14ac:dyDescent="0.25">
      <c r="A757" s="21"/>
      <c r="B757" s="21"/>
      <c r="C757" s="21"/>
      <c r="D757" s="21"/>
      <c r="E757" s="21"/>
      <c r="F757" s="21"/>
    </row>
    <row r="758" spans="1:6" x14ac:dyDescent="0.25">
      <c r="A758" s="21"/>
      <c r="B758" s="21"/>
      <c r="C758" s="21"/>
      <c r="D758" s="21"/>
      <c r="E758" s="21"/>
      <c r="F758" s="21"/>
    </row>
    <row r="759" spans="1:6" x14ac:dyDescent="0.25">
      <c r="A759" s="21"/>
      <c r="B759" s="21"/>
      <c r="C759" s="21"/>
      <c r="D759" s="21"/>
      <c r="E759" s="21"/>
      <c r="F759" s="21"/>
    </row>
    <row r="760" spans="1:6" x14ac:dyDescent="0.25">
      <c r="A760" s="21"/>
      <c r="B760" s="21"/>
      <c r="C760" s="21"/>
      <c r="D760" s="21"/>
      <c r="E760" s="21"/>
      <c r="F760" s="21"/>
    </row>
    <row r="761" spans="1:6" x14ac:dyDescent="0.25">
      <c r="A761" s="21"/>
      <c r="B761" s="21"/>
      <c r="C761" s="21"/>
      <c r="D761" s="21"/>
      <c r="E761" s="21"/>
      <c r="F761" s="21"/>
    </row>
    <row r="762" spans="1:6" x14ac:dyDescent="0.25">
      <c r="A762" s="21"/>
      <c r="B762" s="21"/>
      <c r="C762" s="21"/>
      <c r="D762" s="21"/>
      <c r="E762" s="21"/>
      <c r="F762" s="21"/>
    </row>
    <row r="763" spans="1:6" x14ac:dyDescent="0.25">
      <c r="A763" s="21"/>
      <c r="B763" s="21"/>
      <c r="C763" s="21"/>
      <c r="D763" s="21"/>
      <c r="E763" s="21"/>
      <c r="F763" s="21"/>
    </row>
    <row r="764" spans="1:6" x14ac:dyDescent="0.25">
      <c r="A764" s="21"/>
      <c r="B764" s="21"/>
      <c r="C764" s="21"/>
      <c r="D764" s="21"/>
      <c r="E764" s="21"/>
      <c r="F764" s="21"/>
    </row>
    <row r="765" spans="1:6" x14ac:dyDescent="0.25">
      <c r="A765" s="21"/>
      <c r="B765" s="21"/>
      <c r="C765" s="21"/>
      <c r="D765" s="21"/>
      <c r="E765" s="21"/>
      <c r="F765" s="21"/>
    </row>
    <row r="766" spans="1:6" x14ac:dyDescent="0.25">
      <c r="A766" s="21"/>
      <c r="B766" s="21"/>
      <c r="C766" s="21"/>
      <c r="D766" s="21"/>
      <c r="E766" s="21"/>
      <c r="F766" s="21"/>
    </row>
    <row r="767" spans="1:6" x14ac:dyDescent="0.25">
      <c r="A767" s="21"/>
      <c r="B767" s="21"/>
      <c r="C767" s="21"/>
      <c r="D767" s="21"/>
      <c r="E767" s="21"/>
      <c r="F767" s="21"/>
    </row>
    <row r="768" spans="1:6" x14ac:dyDescent="0.25">
      <c r="A768" s="21"/>
      <c r="B768" s="21"/>
      <c r="C768" s="21"/>
      <c r="D768" s="21"/>
      <c r="E768" s="21"/>
      <c r="F768" s="21"/>
    </row>
    <row r="769" spans="1:6" x14ac:dyDescent="0.25">
      <c r="A769" s="21"/>
      <c r="B769" s="21"/>
      <c r="C769" s="21"/>
      <c r="D769" s="21"/>
      <c r="E769" s="21"/>
      <c r="F769" s="21"/>
    </row>
    <row r="770" spans="1:6" x14ac:dyDescent="0.25">
      <c r="A770" s="21"/>
      <c r="B770" s="21"/>
      <c r="C770" s="21"/>
      <c r="D770" s="21"/>
      <c r="E770" s="21"/>
      <c r="F770" s="21"/>
    </row>
    <row r="771" spans="1:6" x14ac:dyDescent="0.25">
      <c r="A771" s="21"/>
      <c r="B771" s="21"/>
      <c r="C771" s="21"/>
      <c r="D771" s="21"/>
      <c r="E771" s="21"/>
      <c r="F771" s="21"/>
    </row>
    <row r="772" spans="1:6" x14ac:dyDescent="0.25">
      <c r="A772" s="21"/>
      <c r="B772" s="21"/>
      <c r="C772" s="21"/>
      <c r="D772" s="21"/>
      <c r="E772" s="21"/>
      <c r="F772" s="21"/>
    </row>
    <row r="773" spans="1:6" x14ac:dyDescent="0.25">
      <c r="A773" s="21"/>
      <c r="B773" s="21"/>
      <c r="C773" s="21"/>
      <c r="D773" s="21"/>
      <c r="E773" s="21"/>
      <c r="F773" s="21"/>
    </row>
    <row r="774" spans="1:6" x14ac:dyDescent="0.25">
      <c r="A774" s="21"/>
      <c r="B774" s="21"/>
      <c r="C774" s="21"/>
      <c r="D774" s="21"/>
      <c r="E774" s="21"/>
      <c r="F774" s="21"/>
    </row>
    <row r="775" spans="1:6" x14ac:dyDescent="0.25">
      <c r="A775" s="21"/>
      <c r="B775" s="21"/>
      <c r="C775" s="21"/>
      <c r="D775" s="21"/>
      <c r="E775" s="21"/>
      <c r="F775" s="21"/>
    </row>
    <row r="776" spans="1:6" x14ac:dyDescent="0.25">
      <c r="A776" s="21"/>
      <c r="B776" s="21"/>
      <c r="C776" s="21"/>
      <c r="D776" s="21"/>
      <c r="E776" s="21"/>
      <c r="F776" s="21"/>
    </row>
    <row r="777" spans="1:6" x14ac:dyDescent="0.25">
      <c r="A777" s="21"/>
      <c r="B777" s="21"/>
      <c r="C777" s="21"/>
      <c r="D777" s="21"/>
      <c r="E777" s="21"/>
      <c r="F777" s="21"/>
    </row>
    <row r="778" spans="1:6" x14ac:dyDescent="0.25">
      <c r="A778" s="21"/>
      <c r="B778" s="21"/>
      <c r="C778" s="21"/>
      <c r="D778" s="21"/>
      <c r="E778" s="21"/>
      <c r="F778" s="21"/>
    </row>
    <row r="779" spans="1:6" x14ac:dyDescent="0.25">
      <c r="A779" s="21"/>
      <c r="B779" s="21"/>
      <c r="C779" s="21"/>
      <c r="D779" s="21"/>
      <c r="E779" s="21"/>
      <c r="F779" s="21"/>
    </row>
    <row r="780" spans="1:6" x14ac:dyDescent="0.25">
      <c r="A780" s="21"/>
      <c r="B780" s="21"/>
      <c r="C780" s="21"/>
      <c r="D780" s="21"/>
      <c r="E780" s="21"/>
      <c r="F780" s="21"/>
    </row>
    <row r="781" spans="1:6" x14ac:dyDescent="0.25">
      <c r="A781" s="21"/>
      <c r="B781" s="21"/>
      <c r="C781" s="21"/>
      <c r="D781" s="21"/>
      <c r="E781" s="21"/>
      <c r="F781" s="21"/>
    </row>
    <row r="782" spans="1:6" x14ac:dyDescent="0.25">
      <c r="A782" s="21"/>
      <c r="B782" s="21"/>
      <c r="C782" s="21"/>
      <c r="D782" s="21"/>
      <c r="E782" s="21"/>
      <c r="F782" s="21"/>
    </row>
    <row r="783" spans="1:6" x14ac:dyDescent="0.25">
      <c r="A783" s="21"/>
      <c r="B783" s="21"/>
      <c r="C783" s="21"/>
      <c r="D783" s="21"/>
      <c r="E783" s="21"/>
      <c r="F783" s="21"/>
    </row>
    <row r="784" spans="1:6" x14ac:dyDescent="0.25">
      <c r="A784" s="21"/>
      <c r="B784" s="21"/>
      <c r="C784" s="21"/>
      <c r="D784" s="21"/>
      <c r="E784" s="21"/>
      <c r="F784" s="21"/>
    </row>
    <row r="785" spans="1:6" x14ac:dyDescent="0.25">
      <c r="A785" s="21"/>
      <c r="B785" s="21"/>
      <c r="C785" s="21"/>
      <c r="D785" s="21"/>
      <c r="E785" s="21"/>
      <c r="F785" s="21"/>
    </row>
    <row r="786" spans="1:6" x14ac:dyDescent="0.25">
      <c r="A786" s="21"/>
      <c r="B786" s="21"/>
      <c r="C786" s="21"/>
      <c r="D786" s="21"/>
      <c r="E786" s="21"/>
      <c r="F786" s="21"/>
    </row>
    <row r="787" spans="1:6" x14ac:dyDescent="0.25">
      <c r="A787" s="21"/>
      <c r="B787" s="21"/>
      <c r="C787" s="21"/>
      <c r="D787" s="21"/>
      <c r="E787" s="21"/>
      <c r="F787" s="21"/>
    </row>
    <row r="788" spans="1:6" x14ac:dyDescent="0.25">
      <c r="A788" s="21"/>
      <c r="B788" s="21"/>
      <c r="C788" s="21"/>
      <c r="D788" s="21"/>
      <c r="E788" s="21"/>
      <c r="F788" s="21"/>
    </row>
    <row r="789" spans="1:6" x14ac:dyDescent="0.25">
      <c r="A789" s="21"/>
      <c r="B789" s="21"/>
      <c r="C789" s="21"/>
      <c r="D789" s="21"/>
      <c r="E789" s="21"/>
      <c r="F789" s="21"/>
    </row>
    <row r="790" spans="1:6" x14ac:dyDescent="0.25">
      <c r="A790" s="21"/>
      <c r="B790" s="21"/>
      <c r="C790" s="21"/>
      <c r="D790" s="21"/>
      <c r="E790" s="21"/>
      <c r="F79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Direct Heating 60C All Data</vt:lpstr>
      <vt:lpstr>12628 Un-chilled Albert</vt:lpstr>
      <vt:lpstr>12628 Un-chilled</vt:lpstr>
      <vt:lpstr>12628 Pre-chilled Geeraerd_Tail</vt:lpstr>
      <vt:lpstr>12628 Pre-chilled</vt:lpstr>
      <vt:lpstr>12662 Un-chilled Biphasic</vt:lpstr>
      <vt:lpstr>12662 Un-chilled</vt:lpstr>
      <vt:lpstr>12662PC_Geeraerd_Tail</vt:lpstr>
      <vt:lpstr>12662 Pre-chilled</vt:lpstr>
      <vt:lpstr>13126 Un-chilled Geeraerd_Tail</vt:lpstr>
      <vt:lpstr>13126 Un-chilled</vt:lpstr>
      <vt:lpstr>13126 Pre-chilled_Geeraerd_Tail</vt:lpstr>
      <vt:lpstr>13126 Pre-chilled</vt:lpstr>
      <vt:lpstr>13136 Un-chilled Biphasic</vt:lpstr>
      <vt:lpstr>13136 Un-chilled</vt:lpstr>
      <vt:lpstr>13136PC_Biphasic</vt:lpstr>
      <vt:lpstr>13136 Pre-chilled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Matrices Direct Heating 60C</dc:title>
  <dc:creator>trjones</dc:creator>
  <cp:lastModifiedBy>Ginn, Michael</cp:lastModifiedBy>
  <dcterms:created xsi:type="dcterms:W3CDTF">2013-02-22T12:03:09Z</dcterms:created>
  <dcterms:modified xsi:type="dcterms:W3CDTF">2016-11-01T18:23:49Z</dcterms:modified>
</cp:coreProperties>
</file>