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120" yWindow="105" windowWidth="19020" windowHeight="11895" tabRatio="770"/>
  </bookViews>
  <sheets>
    <sheet name="Gradual Heating 70C All Data" sheetId="76" r:id="rId1"/>
    <sheet name="Water Bath 70C All Data" sheetId="77" r:id="rId2"/>
    <sheet name="12628 Un-chilled Coroller" sheetId="63" r:id="rId3"/>
    <sheet name="12628 Un-chilled" sheetId="9" r:id="rId4"/>
    <sheet name="12628 Pre-chilled Albert" sheetId="71" r:id="rId5"/>
    <sheet name="12628 Pre-chilled" sheetId="11" r:id="rId6"/>
    <sheet name="12662 Un-chilled Albert" sheetId="25" r:id="rId7"/>
    <sheet name="12662 Un-chilled" sheetId="7" r:id="rId8"/>
    <sheet name="12662PC_Weibull" sheetId="42" r:id="rId9"/>
    <sheet name="12662PC" sheetId="8" r:id="rId10"/>
    <sheet name="13126UC_Coroller" sheetId="57" r:id="rId11"/>
    <sheet name="13126UC" sheetId="12" r:id="rId12"/>
    <sheet name="13136UC_Albert" sheetId="61" r:id="rId13"/>
    <sheet name="13136UC" sheetId="14" r:id="rId14"/>
  </sheets>
  <definedNames>
    <definedName name="solver_adj" localSheetId="4" hidden="1">'12628 Pre-chilled Albert'!$G$2:$G$5</definedName>
    <definedName name="solver_adj" localSheetId="2" hidden="1">'12628 Un-chilled Coroller'!$G$2:$G$6</definedName>
    <definedName name="solver_adj" localSheetId="6" hidden="1">'12662 Un-chilled Albert'!$G$2:$G$5</definedName>
    <definedName name="solver_adj" localSheetId="8" hidden="1">'12662PC_Weibull'!$G$3:$G$5</definedName>
    <definedName name="solver_adj" localSheetId="10" hidden="1">'13126UC_Coroller'!$G$2:$G$6</definedName>
    <definedName name="solver_adj" localSheetId="12" hidden="1">'13136UC_Albert'!$G$2:$G$5</definedName>
    <definedName name="solver_cvg" localSheetId="4" hidden="1">0.0000000001</definedName>
    <definedName name="solver_cvg" localSheetId="2" hidden="1">0.0000000001</definedName>
    <definedName name="solver_cvg" localSheetId="6" hidden="1">0.0000000001</definedName>
    <definedName name="solver_cvg" localSheetId="8" hidden="1">0.0000000001</definedName>
    <definedName name="solver_cvg" localSheetId="10" hidden="1">0.0000000001</definedName>
    <definedName name="solver_cvg" localSheetId="12" hidden="1">0.0000000001</definedName>
    <definedName name="solver_drv" localSheetId="4" hidden="1">2</definedName>
    <definedName name="solver_drv" localSheetId="2" hidden="1">2</definedName>
    <definedName name="solver_drv" localSheetId="6" hidden="1">2</definedName>
    <definedName name="solver_drv" localSheetId="8" hidden="1">2</definedName>
    <definedName name="solver_drv" localSheetId="10" hidden="1">2</definedName>
    <definedName name="solver_drv" localSheetId="12" hidden="1">2</definedName>
    <definedName name="solver_est" localSheetId="4" hidden="1">2</definedName>
    <definedName name="solver_est" localSheetId="2" hidden="1">2</definedName>
    <definedName name="solver_est" localSheetId="6" hidden="1">2</definedName>
    <definedName name="solver_est" localSheetId="8" hidden="1">2</definedName>
    <definedName name="solver_est" localSheetId="10" hidden="1">2</definedName>
    <definedName name="solver_est" localSheetId="12" hidden="1">2</definedName>
    <definedName name="solver_itr" localSheetId="4" hidden="1">10000</definedName>
    <definedName name="solver_itr" localSheetId="2" hidden="1">10000</definedName>
    <definedName name="solver_itr" localSheetId="6" hidden="1">10000</definedName>
    <definedName name="solver_itr" localSheetId="8" hidden="1">10000</definedName>
    <definedName name="solver_itr" localSheetId="10" hidden="1">10000</definedName>
    <definedName name="solver_itr" localSheetId="12" hidden="1">10000</definedName>
    <definedName name="solver_lhs1" localSheetId="4" hidden="1">'12628 Pre-chilled Albert'!$G$4</definedName>
    <definedName name="solver_lhs1" localSheetId="2" hidden="1">'12628 Un-chilled Coroller'!$G$2</definedName>
    <definedName name="solver_lhs1" localSheetId="6" hidden="1">'12662 Un-chilled Albert'!$G$4</definedName>
    <definedName name="solver_lhs1" localSheetId="8" hidden="1">'12662PC_Weibull'!$G$4</definedName>
    <definedName name="solver_lhs1" localSheetId="10" hidden="1">'13126UC_Coroller'!$G$2</definedName>
    <definedName name="solver_lhs1" localSheetId="12" hidden="1">'13136UC_Albert'!$G$4</definedName>
    <definedName name="solver_lhs2" localSheetId="4" hidden="1">'12628 Pre-chilled Albert'!$G$4</definedName>
    <definedName name="solver_lhs2" localSheetId="2" hidden="1">'12628 Un-chilled Coroller'!$G$6</definedName>
    <definedName name="solver_lhs2" localSheetId="6" hidden="1">'12662 Un-chilled Albert'!$G$4</definedName>
    <definedName name="solver_lhs2" localSheetId="8" hidden="1">'12662PC_Weibull'!$G$4</definedName>
    <definedName name="solver_lhs2" localSheetId="10" hidden="1">'13126UC_Coroller'!$G$6</definedName>
    <definedName name="solver_lhs2" localSheetId="12" hidden="1">'13136UC_Albert'!$G$4</definedName>
    <definedName name="solver_lhs3" localSheetId="4" hidden="1">'12628 Pre-chilled Albert'!$G$3</definedName>
    <definedName name="solver_lhs3" localSheetId="2" hidden="1">'12628 Un-chilled Coroller'!$G$6</definedName>
    <definedName name="solver_lhs3" localSheetId="6" hidden="1">'12662 Un-chilled Albert'!$G$3</definedName>
    <definedName name="solver_lhs3" localSheetId="8" hidden="1">'12662PC_Weibull'!$G$3</definedName>
    <definedName name="solver_lhs3" localSheetId="10" hidden="1">'13126UC_Coroller'!$G$6</definedName>
    <definedName name="solver_lhs3" localSheetId="12" hidden="1">'13136UC_Albert'!$G$3</definedName>
    <definedName name="solver_lhs4" localSheetId="4" hidden="1">'12628 Pre-chilled Albert'!$G$3</definedName>
    <definedName name="solver_lhs4" localSheetId="2" hidden="1">'12628 Un-chilled Coroller'!$G$6</definedName>
    <definedName name="solver_lhs4" localSheetId="6" hidden="1">'12662 Un-chilled Albert'!$G$3</definedName>
    <definedName name="solver_lhs4" localSheetId="8" hidden="1">'12662PC_Weibull'!$G$3</definedName>
    <definedName name="solver_lhs4" localSheetId="10" hidden="1">'13126UC_Coroller'!$G$6</definedName>
    <definedName name="solver_lhs4" localSheetId="12" hidden="1">'13136UC_Albert'!$G$3</definedName>
    <definedName name="solver_lhs5" localSheetId="4" hidden="1">'12628 Pre-chilled Albert'!$G$4</definedName>
    <definedName name="solver_lhs5" localSheetId="2" hidden="1">'12628 Un-chilled Coroller'!$G$6</definedName>
    <definedName name="solver_lhs5" localSheetId="6" hidden="1">'12662 Un-chilled Albert'!$G$4</definedName>
    <definedName name="solver_lhs5" localSheetId="8" hidden="1">'12662PC_Weibull'!$G$4</definedName>
    <definedName name="solver_lhs5" localSheetId="10" hidden="1">'13126UC_Coroller'!$G$6</definedName>
    <definedName name="solver_lhs5" localSheetId="12" hidden="1">'13136UC_Albert'!$G$4</definedName>
    <definedName name="solver_lhs6" localSheetId="2" hidden="1">'12628 Un-chilled Coroller'!$G$4</definedName>
    <definedName name="solver_lhs6" localSheetId="10" hidden="1">'13126UC_Coroller'!$G$4</definedName>
    <definedName name="solver_lhs7" localSheetId="2" hidden="1">'12628 Un-chilled Coroller'!$G$2</definedName>
    <definedName name="solver_lhs7" localSheetId="10" hidden="1">'13126UC_Coroller'!$G$2</definedName>
    <definedName name="solver_lin" localSheetId="4" hidden="1">2</definedName>
    <definedName name="solver_lin" localSheetId="2" hidden="1">2</definedName>
    <definedName name="solver_lin" localSheetId="6" hidden="1">2</definedName>
    <definedName name="solver_lin" localSheetId="8" hidden="1">2</definedName>
    <definedName name="solver_lin" localSheetId="10" hidden="1">2</definedName>
    <definedName name="solver_lin" localSheetId="12" hidden="1">2</definedName>
    <definedName name="solver_neg" localSheetId="4" hidden="1">2</definedName>
    <definedName name="solver_neg" localSheetId="2" hidden="1">2</definedName>
    <definedName name="solver_neg" localSheetId="6" hidden="1">2</definedName>
    <definedName name="solver_neg" localSheetId="8" hidden="1">2</definedName>
    <definedName name="solver_neg" localSheetId="10" hidden="1">2</definedName>
    <definedName name="solver_neg" localSheetId="12" hidden="1">2</definedName>
    <definedName name="solver_num" localSheetId="4" hidden="1">0</definedName>
    <definedName name="solver_num" localSheetId="2" hidden="1">0</definedName>
    <definedName name="solver_num" localSheetId="6" hidden="1">0</definedName>
    <definedName name="solver_num" localSheetId="8" hidden="1">0</definedName>
    <definedName name="solver_num" localSheetId="10" hidden="1">0</definedName>
    <definedName name="solver_num" localSheetId="12" hidden="1">0</definedName>
    <definedName name="solver_nwt" localSheetId="4" hidden="1">2</definedName>
    <definedName name="solver_nwt" localSheetId="2" hidden="1">2</definedName>
    <definedName name="solver_nwt" localSheetId="6" hidden="1">2</definedName>
    <definedName name="solver_nwt" localSheetId="8" hidden="1">2</definedName>
    <definedName name="solver_nwt" localSheetId="10" hidden="1">2</definedName>
    <definedName name="solver_nwt" localSheetId="12" hidden="1">2</definedName>
    <definedName name="solver_opt" localSheetId="4" hidden="1">'12628 Pre-chilled Albert'!$D$19</definedName>
    <definedName name="solver_opt" localSheetId="2" hidden="1">'12628 Un-chilled Coroller'!$D$23</definedName>
    <definedName name="solver_opt" localSheetId="6" hidden="1">'12662 Un-chilled Albert'!$D$21</definedName>
    <definedName name="solver_opt" localSheetId="8" hidden="1">'12662PC_Weibull'!$D$25</definedName>
    <definedName name="solver_opt" localSheetId="10" hidden="1">'13126UC_Coroller'!$D$18</definedName>
    <definedName name="solver_opt" localSheetId="12" hidden="1">'13136UC_Albert'!$D$24</definedName>
    <definedName name="solver_pre" localSheetId="4" hidden="1">0.000000000001</definedName>
    <definedName name="solver_pre" localSheetId="2" hidden="1">0.000000000001</definedName>
    <definedName name="solver_pre" localSheetId="6" hidden="1">0.000000000001</definedName>
    <definedName name="solver_pre" localSheetId="8" hidden="1">0.000000000001</definedName>
    <definedName name="solver_pre" localSheetId="10" hidden="1">0.000000000001</definedName>
    <definedName name="solver_pre" localSheetId="12" hidden="1">0.000000000001</definedName>
    <definedName name="solver_rel1" localSheetId="4" hidden="1">3</definedName>
    <definedName name="solver_rel1" localSheetId="2" hidden="1">1</definedName>
    <definedName name="solver_rel1" localSheetId="6" hidden="1">3</definedName>
    <definedName name="solver_rel1" localSheetId="8" hidden="1">3</definedName>
    <definedName name="solver_rel1" localSheetId="10" hidden="1">1</definedName>
    <definedName name="solver_rel1" localSheetId="12" hidden="1">3</definedName>
    <definedName name="solver_rel2" localSheetId="4" hidden="1">3</definedName>
    <definedName name="solver_rel2" localSheetId="2" hidden="1">3</definedName>
    <definedName name="solver_rel2" localSheetId="6" hidden="1">3</definedName>
    <definedName name="solver_rel2" localSheetId="8" hidden="1">3</definedName>
    <definedName name="solver_rel2" localSheetId="10" hidden="1">3</definedName>
    <definedName name="solver_rel2" localSheetId="12" hidden="1">3</definedName>
    <definedName name="solver_rel3" localSheetId="4" hidden="1">3</definedName>
    <definedName name="solver_rel3" localSheetId="2" hidden="1">3</definedName>
    <definedName name="solver_rel3" localSheetId="6" hidden="1">3</definedName>
    <definedName name="solver_rel3" localSheetId="8" hidden="1">3</definedName>
    <definedName name="solver_rel3" localSheetId="10" hidden="1">3</definedName>
    <definedName name="solver_rel3" localSheetId="12" hidden="1">3</definedName>
    <definedName name="solver_rel4" localSheetId="4" hidden="1">3</definedName>
    <definedName name="solver_rel4" localSheetId="2" hidden="1">3</definedName>
    <definedName name="solver_rel4" localSheetId="6" hidden="1">3</definedName>
    <definedName name="solver_rel4" localSheetId="8" hidden="1">3</definedName>
    <definedName name="solver_rel4" localSheetId="10" hidden="1">3</definedName>
    <definedName name="solver_rel4" localSheetId="12" hidden="1">3</definedName>
    <definedName name="solver_rel5" localSheetId="4" hidden="1">3</definedName>
    <definedName name="solver_rel5" localSheetId="2" hidden="1">3</definedName>
    <definedName name="solver_rel5" localSheetId="6" hidden="1">3</definedName>
    <definedName name="solver_rel5" localSheetId="8" hidden="1">3</definedName>
    <definedName name="solver_rel5" localSheetId="10" hidden="1">3</definedName>
    <definedName name="solver_rel5" localSheetId="12" hidden="1">3</definedName>
    <definedName name="solver_rel6" localSheetId="2" hidden="1">1</definedName>
    <definedName name="solver_rel6" localSheetId="10" hidden="1">1</definedName>
    <definedName name="solver_rel7" localSheetId="2" hidden="1">1</definedName>
    <definedName name="solver_rel7" localSheetId="10" hidden="1">1</definedName>
    <definedName name="solver_rhs1" localSheetId="4" hidden="1">'12628 Pre-chilled Albert'!$J$1</definedName>
    <definedName name="solver_rhs1" localSheetId="2" hidden="1">3.50514997831991</definedName>
    <definedName name="solver_rhs1" localSheetId="6" hidden="1">'12662 Un-chilled Albert'!$J$1</definedName>
    <definedName name="solver_rhs1" localSheetId="8" hidden="1">'12662PC_Weibull'!$J$1</definedName>
    <definedName name="solver_rhs1" localSheetId="10" hidden="1">3.38480699340076</definedName>
    <definedName name="solver_rhs1" localSheetId="12" hidden="1">'13136UC_Albert'!$J$1</definedName>
    <definedName name="solver_rhs2" localSheetId="4" hidden="1">'12628 Pre-chilled Albert'!$J$1</definedName>
    <definedName name="solver_rhs2" localSheetId="2" hidden="1">'12628 Un-chilled Coroller'!$G$3</definedName>
    <definedName name="solver_rhs2" localSheetId="6" hidden="1">'12662 Un-chilled Albert'!$J$1</definedName>
    <definedName name="solver_rhs2" localSheetId="8" hidden="1">'12662PC_Weibull'!$J$1</definedName>
    <definedName name="solver_rhs2" localSheetId="10" hidden="1">'13126UC_Coroller'!$G$3</definedName>
    <definedName name="solver_rhs2" localSheetId="12" hidden="1">'13136UC_Albert'!$J$1</definedName>
    <definedName name="solver_rhs3" localSheetId="4" hidden="1">'12628 Pre-chilled Albert'!$G$4</definedName>
    <definedName name="solver_rhs3" localSheetId="2" hidden="1">'12628 Un-chilled Coroller'!$G$3</definedName>
    <definedName name="solver_rhs3" localSheetId="6" hidden="1">'12662 Un-chilled Albert'!$G$4</definedName>
    <definedName name="solver_rhs3" localSheetId="8" hidden="1">'12662PC_Weibull'!$G$4</definedName>
    <definedName name="solver_rhs3" localSheetId="10" hidden="1">'13126UC_Coroller'!$G$3</definedName>
    <definedName name="solver_rhs3" localSheetId="12" hidden="1">'13136UC_Albert'!$G$4</definedName>
    <definedName name="solver_rhs4" localSheetId="4" hidden="1">'12628 Pre-chilled Albert'!$J$1</definedName>
    <definedName name="solver_rhs4" localSheetId="2" hidden="1">'12628 Un-chilled Coroller'!$J$1</definedName>
    <definedName name="solver_rhs4" localSheetId="6" hidden="1">'12662 Un-chilled Albert'!$J$1</definedName>
    <definedName name="solver_rhs4" localSheetId="8" hidden="1">'12662PC_Weibull'!$J$1</definedName>
    <definedName name="solver_rhs4" localSheetId="10" hidden="1">'13126UC_Coroller'!$J$1</definedName>
    <definedName name="solver_rhs4" localSheetId="12" hidden="1">'13136UC_Albert'!$J$1</definedName>
    <definedName name="solver_rhs5" localSheetId="4" hidden="1">'12628 Pre-chilled Albert'!$J$1</definedName>
    <definedName name="solver_rhs5" localSheetId="2" hidden="1">'12628 Un-chilled Coroller'!$G$3</definedName>
    <definedName name="solver_rhs5" localSheetId="6" hidden="1">'12662 Un-chilled Albert'!$J$1</definedName>
    <definedName name="solver_rhs5" localSheetId="8" hidden="1">'12662PC_Weibull'!$J$1</definedName>
    <definedName name="solver_rhs5" localSheetId="10" hidden="1">'13126UC_Coroller'!$G$3</definedName>
    <definedName name="solver_rhs5" localSheetId="12" hidden="1">'13136UC_Albert'!$J$1</definedName>
    <definedName name="solver_rhs6" localSheetId="2" hidden="1">6</definedName>
    <definedName name="solver_rhs6" localSheetId="10" hidden="1">6</definedName>
    <definedName name="solver_rhs7" localSheetId="2" hidden="1">3.50514997831991</definedName>
    <definedName name="solver_rhs7" localSheetId="10" hidden="1">3.38480699340076</definedName>
    <definedName name="solver_scl" localSheetId="4" hidden="1">0</definedName>
    <definedName name="solver_scl" localSheetId="2" hidden="1">0</definedName>
    <definedName name="solver_scl" localSheetId="6" hidden="1">0</definedName>
    <definedName name="solver_scl" localSheetId="8" hidden="1">0</definedName>
    <definedName name="solver_scl" localSheetId="10" hidden="1">0</definedName>
    <definedName name="solver_scl" localSheetId="12" hidden="1">0</definedName>
    <definedName name="solver_sho" localSheetId="4" hidden="1">2</definedName>
    <definedName name="solver_sho" localSheetId="2" hidden="1">2</definedName>
    <definedName name="solver_sho" localSheetId="6" hidden="1">2</definedName>
    <definedName name="solver_sho" localSheetId="8" hidden="1">2</definedName>
    <definedName name="solver_sho" localSheetId="10" hidden="1">2</definedName>
    <definedName name="solver_sho" localSheetId="12" hidden="1">2</definedName>
    <definedName name="solver_tim" localSheetId="4" hidden="1">100</definedName>
    <definedName name="solver_tim" localSheetId="2" hidden="1">100</definedName>
    <definedName name="solver_tim" localSheetId="6" hidden="1">100</definedName>
    <definedName name="solver_tim" localSheetId="8" hidden="1">100</definedName>
    <definedName name="solver_tim" localSheetId="10" hidden="1">100</definedName>
    <definedName name="solver_tim" localSheetId="12" hidden="1">100</definedName>
    <definedName name="solver_tol" localSheetId="4" hidden="1">0.05</definedName>
    <definedName name="solver_tol" localSheetId="2" hidden="1">0.05</definedName>
    <definedName name="solver_tol" localSheetId="6" hidden="1">0.05</definedName>
    <definedName name="solver_tol" localSheetId="8" hidden="1">0.05</definedName>
    <definedName name="solver_tol" localSheetId="10" hidden="1">0.05</definedName>
    <definedName name="solver_tol" localSheetId="12" hidden="1">0.05</definedName>
    <definedName name="solver_typ" localSheetId="4" hidden="1">2</definedName>
    <definedName name="solver_typ" localSheetId="2" hidden="1">2</definedName>
    <definedName name="solver_typ" localSheetId="6" hidden="1">2</definedName>
    <definedName name="solver_typ" localSheetId="8" hidden="1">2</definedName>
    <definedName name="solver_typ" localSheetId="10" hidden="1">2</definedName>
    <definedName name="solver_typ" localSheetId="12" hidden="1">2</definedName>
    <definedName name="solver_val" localSheetId="4" hidden="1">0</definedName>
    <definedName name="solver_val" localSheetId="2" hidden="1">0</definedName>
    <definedName name="solver_val" localSheetId="6" hidden="1">0</definedName>
    <definedName name="solver_val" localSheetId="8" hidden="1">0</definedName>
    <definedName name="solver_val" localSheetId="10" hidden="1">0</definedName>
    <definedName name="solver_val" localSheetId="12" hidden="1">0</definedName>
  </definedNames>
  <calcPr calcId="152511"/>
</workbook>
</file>

<file path=xl/calcChain.xml><?xml version="1.0" encoding="utf-8"?>
<calcChain xmlns="http://schemas.openxmlformats.org/spreadsheetml/2006/main">
  <c r="F115" i="76" l="1"/>
  <c r="F114" i="76"/>
  <c r="F113" i="76"/>
  <c r="F112" i="76"/>
  <c r="F111" i="76"/>
  <c r="F110" i="76"/>
  <c r="F109" i="76"/>
  <c r="F108" i="76"/>
  <c r="F107" i="76"/>
  <c r="F106" i="76"/>
  <c r="F105" i="76"/>
  <c r="F104" i="76"/>
  <c r="F103" i="76"/>
  <c r="F102" i="76"/>
  <c r="F101" i="76"/>
  <c r="F100" i="76"/>
  <c r="F99" i="76"/>
  <c r="F98" i="76"/>
  <c r="F97" i="76"/>
  <c r="F96" i="76"/>
  <c r="F95" i="76"/>
  <c r="F94" i="76"/>
  <c r="F93" i="76"/>
  <c r="F92" i="76"/>
  <c r="F91" i="76"/>
  <c r="F90" i="76"/>
  <c r="F89" i="76"/>
  <c r="F88" i="76"/>
  <c r="F87" i="76"/>
  <c r="F86" i="76"/>
  <c r="F85" i="76"/>
  <c r="F84" i="76"/>
  <c r="F83" i="76"/>
  <c r="F82" i="76"/>
  <c r="F81" i="76"/>
  <c r="F80" i="76"/>
  <c r="F79" i="76"/>
  <c r="F78" i="76"/>
  <c r="F77" i="76"/>
  <c r="F76" i="76"/>
  <c r="F75" i="76"/>
  <c r="F74" i="76"/>
  <c r="F73" i="76"/>
  <c r="F72" i="76"/>
  <c r="F71" i="76"/>
  <c r="F70" i="76"/>
  <c r="F69" i="76"/>
  <c r="F68" i="76"/>
  <c r="F67" i="76"/>
  <c r="F66" i="76"/>
  <c r="F65" i="76"/>
  <c r="F64" i="76"/>
  <c r="F63" i="76"/>
  <c r="F62" i="76"/>
  <c r="F61" i="76"/>
  <c r="F60" i="76"/>
  <c r="F59" i="76"/>
  <c r="F58" i="76"/>
  <c r="F57" i="76"/>
  <c r="F56" i="76"/>
  <c r="F55" i="76"/>
  <c r="F54" i="76"/>
  <c r="F53" i="76"/>
  <c r="F52" i="76"/>
  <c r="F51" i="76"/>
  <c r="F49" i="76"/>
  <c r="F48" i="76"/>
  <c r="F47" i="76"/>
  <c r="F46" i="76"/>
  <c r="F45" i="76"/>
  <c r="F44" i="76"/>
  <c r="F43" i="76"/>
  <c r="F42" i="76"/>
  <c r="F41" i="76"/>
  <c r="F40" i="76"/>
  <c r="F39" i="76"/>
  <c r="F38" i="76"/>
  <c r="F37" i="76"/>
  <c r="F36" i="76"/>
  <c r="F34" i="76"/>
  <c r="F33" i="76"/>
  <c r="F32" i="76"/>
  <c r="F31" i="76"/>
  <c r="F30" i="76"/>
  <c r="F29" i="76"/>
  <c r="F28" i="76"/>
  <c r="F26" i="76"/>
  <c r="F25" i="76"/>
  <c r="F24" i="76"/>
  <c r="F23" i="76"/>
  <c r="F22" i="76"/>
  <c r="F21" i="76"/>
  <c r="F20" i="76"/>
  <c r="F19" i="76"/>
  <c r="M3" i="71" l="1"/>
  <c r="C122" i="71"/>
  <c r="C121" i="71"/>
  <c r="C120" i="71"/>
  <c r="C119" i="71"/>
  <c r="C118" i="71"/>
  <c r="C117" i="71"/>
  <c r="C116" i="71"/>
  <c r="C115" i="71"/>
  <c r="C114" i="71"/>
  <c r="C113" i="71"/>
  <c r="C112" i="71"/>
  <c r="C111" i="71"/>
  <c r="C110" i="71"/>
  <c r="C109" i="71"/>
  <c r="C108" i="71"/>
  <c r="C107" i="71"/>
  <c r="C106" i="71"/>
  <c r="C105" i="71"/>
  <c r="C104" i="71"/>
  <c r="C103" i="71"/>
  <c r="C102" i="71"/>
  <c r="C101" i="71"/>
  <c r="C100" i="71"/>
  <c r="C99" i="71"/>
  <c r="C98" i="71"/>
  <c r="C97" i="71"/>
  <c r="C96" i="71"/>
  <c r="C95" i="71"/>
  <c r="C94" i="71"/>
  <c r="C93" i="71"/>
  <c r="C92" i="71"/>
  <c r="C91" i="71"/>
  <c r="C90" i="71"/>
  <c r="C89" i="71"/>
  <c r="C88" i="71"/>
  <c r="C87" i="71"/>
  <c r="C86" i="71"/>
  <c r="C85" i="71"/>
  <c r="C84" i="71"/>
  <c r="C83" i="71"/>
  <c r="C82" i="71"/>
  <c r="C81" i="71"/>
  <c r="C80" i="71"/>
  <c r="C79" i="71"/>
  <c r="C78" i="71"/>
  <c r="C77" i="71"/>
  <c r="C76" i="71"/>
  <c r="C75" i="71"/>
  <c r="C74" i="71"/>
  <c r="C73" i="71"/>
  <c r="C72" i="71"/>
  <c r="C71" i="71"/>
  <c r="C70" i="71"/>
  <c r="C69" i="71"/>
  <c r="C68" i="71"/>
  <c r="C67" i="71"/>
  <c r="C66" i="71"/>
  <c r="C65" i="71"/>
  <c r="C64" i="71"/>
  <c r="C63" i="71"/>
  <c r="C62" i="71"/>
  <c r="C61" i="71"/>
  <c r="C60" i="71"/>
  <c r="C59" i="71"/>
  <c r="C58" i="71"/>
  <c r="C57" i="71"/>
  <c r="C56" i="71"/>
  <c r="C55" i="71"/>
  <c r="C54" i="71"/>
  <c r="C53" i="71"/>
  <c r="C52" i="71"/>
  <c r="C51" i="71"/>
  <c r="C50" i="71"/>
  <c r="C49" i="71"/>
  <c r="C48" i="71"/>
  <c r="C47" i="71"/>
  <c r="C46" i="71"/>
  <c r="C45" i="71"/>
  <c r="C44" i="71"/>
  <c r="C43" i="71"/>
  <c r="C42" i="71"/>
  <c r="C41" i="71"/>
  <c r="C40" i="71"/>
  <c r="C39" i="71"/>
  <c r="C38" i="71"/>
  <c r="C37" i="71"/>
  <c r="C36" i="71"/>
  <c r="C35" i="71"/>
  <c r="C34" i="71"/>
  <c r="C33" i="71"/>
  <c r="C32" i="71"/>
  <c r="C31" i="71"/>
  <c r="C30" i="71"/>
  <c r="C29" i="71"/>
  <c r="C28" i="71"/>
  <c r="C27" i="71"/>
  <c r="C26" i="71"/>
  <c r="C25" i="71"/>
  <c r="C24" i="71"/>
  <c r="C23" i="71"/>
  <c r="C22" i="71"/>
  <c r="C18" i="71"/>
  <c r="D18" i="71" s="1"/>
  <c r="C17" i="71"/>
  <c r="D17" i="71" s="1"/>
  <c r="C16" i="71"/>
  <c r="D16" i="71" s="1"/>
  <c r="C15" i="71"/>
  <c r="D15" i="71" s="1"/>
  <c r="C14" i="71"/>
  <c r="D14" i="71" s="1"/>
  <c r="C13" i="71"/>
  <c r="D13" i="71" s="1"/>
  <c r="C12" i="71"/>
  <c r="D12" i="71" s="1"/>
  <c r="C11" i="71"/>
  <c r="D11" i="71" s="1"/>
  <c r="C10" i="71"/>
  <c r="D10" i="71" s="1"/>
  <c r="C9" i="71"/>
  <c r="D9" i="71" s="1"/>
  <c r="C8" i="71"/>
  <c r="D8" i="71" s="1"/>
  <c r="C7" i="71"/>
  <c r="D7" i="71" s="1"/>
  <c r="C6" i="71"/>
  <c r="D6" i="71" s="1"/>
  <c r="C5" i="71"/>
  <c r="D5" i="71" s="1"/>
  <c r="C4" i="71"/>
  <c r="D4" i="71" s="1"/>
  <c r="C3" i="71"/>
  <c r="D3" i="71" s="1"/>
  <c r="C2" i="71"/>
  <c r="D2" i="71" s="1"/>
  <c r="D19" i="71" l="1"/>
  <c r="M3" i="63"/>
  <c r="C126" i="63"/>
  <c r="C125" i="63"/>
  <c r="C124" i="63"/>
  <c r="C123" i="63"/>
  <c r="C122" i="63"/>
  <c r="C121" i="63"/>
  <c r="C120" i="63"/>
  <c r="C119" i="63"/>
  <c r="C118" i="63"/>
  <c r="C117" i="63"/>
  <c r="C116" i="63"/>
  <c r="C115" i="63"/>
  <c r="C114" i="63"/>
  <c r="C113" i="63"/>
  <c r="C112" i="63"/>
  <c r="C111" i="63"/>
  <c r="C110" i="63"/>
  <c r="C109" i="63"/>
  <c r="C108" i="63"/>
  <c r="C107" i="63"/>
  <c r="C106" i="63"/>
  <c r="C105" i="63"/>
  <c r="C104" i="63"/>
  <c r="C103" i="63"/>
  <c r="C102" i="63"/>
  <c r="C101" i="63"/>
  <c r="C100" i="63"/>
  <c r="C99" i="63"/>
  <c r="C98" i="63"/>
  <c r="C97" i="63"/>
  <c r="C96" i="63"/>
  <c r="C95" i="63"/>
  <c r="C94" i="63"/>
  <c r="C93" i="63"/>
  <c r="C92" i="63"/>
  <c r="C91" i="63"/>
  <c r="C90" i="63"/>
  <c r="C89" i="63"/>
  <c r="C88" i="63"/>
  <c r="C87" i="63"/>
  <c r="C86" i="63"/>
  <c r="C85" i="63"/>
  <c r="C84" i="63"/>
  <c r="C83" i="63"/>
  <c r="C82" i="63"/>
  <c r="C81" i="63"/>
  <c r="C80" i="63"/>
  <c r="C79" i="63"/>
  <c r="C78" i="63"/>
  <c r="C77" i="63"/>
  <c r="C76" i="63"/>
  <c r="C75" i="63"/>
  <c r="C74" i="63"/>
  <c r="C73" i="63"/>
  <c r="C72" i="63"/>
  <c r="C71" i="63"/>
  <c r="C70" i="63"/>
  <c r="C69" i="63"/>
  <c r="C68" i="63"/>
  <c r="C67" i="63"/>
  <c r="C66" i="63"/>
  <c r="C65" i="63"/>
  <c r="C64" i="63"/>
  <c r="C63" i="63"/>
  <c r="C62" i="63"/>
  <c r="C61" i="63"/>
  <c r="C60" i="63"/>
  <c r="C59" i="63"/>
  <c r="C58" i="63"/>
  <c r="C57" i="63"/>
  <c r="C56" i="63"/>
  <c r="C55" i="63"/>
  <c r="C54" i="63"/>
  <c r="C53" i="63"/>
  <c r="C52" i="63"/>
  <c r="C51" i="63"/>
  <c r="C50" i="63"/>
  <c r="C49" i="63"/>
  <c r="C48" i="63"/>
  <c r="C47" i="63"/>
  <c r="C46" i="63"/>
  <c r="C45" i="63"/>
  <c r="C44" i="63"/>
  <c r="C43" i="63"/>
  <c r="C42" i="63"/>
  <c r="C41" i="63"/>
  <c r="C40" i="63"/>
  <c r="C39" i="63"/>
  <c r="C38" i="63"/>
  <c r="C37" i="63"/>
  <c r="C36" i="63"/>
  <c r="C35" i="63"/>
  <c r="C34" i="63"/>
  <c r="C33" i="63"/>
  <c r="C32" i="63"/>
  <c r="C31" i="63"/>
  <c r="C30" i="63"/>
  <c r="C29" i="63"/>
  <c r="C28" i="63"/>
  <c r="C27" i="63"/>
  <c r="C26" i="63"/>
  <c r="C22" i="63"/>
  <c r="D22" i="63" s="1"/>
  <c r="C21" i="63"/>
  <c r="D21" i="63" s="1"/>
  <c r="C20" i="63"/>
  <c r="D20" i="63" s="1"/>
  <c r="C19" i="63"/>
  <c r="D19" i="63" s="1"/>
  <c r="C18" i="63"/>
  <c r="D18" i="63" s="1"/>
  <c r="C17" i="63"/>
  <c r="D17" i="63" s="1"/>
  <c r="C16" i="63"/>
  <c r="D16" i="63" s="1"/>
  <c r="C15" i="63"/>
  <c r="D15" i="63" s="1"/>
  <c r="C14" i="63"/>
  <c r="D14" i="63" s="1"/>
  <c r="C13" i="63"/>
  <c r="D13" i="63" s="1"/>
  <c r="C12" i="63"/>
  <c r="D12" i="63" s="1"/>
  <c r="C11" i="63"/>
  <c r="D11" i="63" s="1"/>
  <c r="C10" i="63"/>
  <c r="D10" i="63" s="1"/>
  <c r="C9" i="63"/>
  <c r="D9" i="63" s="1"/>
  <c r="C8" i="63"/>
  <c r="D8" i="63" s="1"/>
  <c r="C7" i="63"/>
  <c r="D7" i="63" s="1"/>
  <c r="C6" i="63"/>
  <c r="D6" i="63" s="1"/>
  <c r="C5" i="63"/>
  <c r="D5" i="63" s="1"/>
  <c r="C4" i="63"/>
  <c r="D4" i="63" s="1"/>
  <c r="C3" i="63"/>
  <c r="D3" i="63" s="1"/>
  <c r="C2" i="63"/>
  <c r="D2" i="63" s="1"/>
  <c r="M3" i="61"/>
  <c r="C126" i="61"/>
  <c r="C125" i="61"/>
  <c r="C124" i="61"/>
  <c r="C123" i="61"/>
  <c r="C122" i="61"/>
  <c r="C121" i="61"/>
  <c r="C120" i="61"/>
  <c r="C119" i="61"/>
  <c r="C118" i="61"/>
  <c r="C117" i="61"/>
  <c r="C116" i="61"/>
  <c r="C115" i="61"/>
  <c r="C114" i="61"/>
  <c r="C113" i="61"/>
  <c r="C112" i="61"/>
  <c r="C111" i="61"/>
  <c r="C110" i="61"/>
  <c r="C109" i="61"/>
  <c r="C108" i="61"/>
  <c r="C107" i="61"/>
  <c r="C106" i="61"/>
  <c r="C105" i="61"/>
  <c r="C104" i="61"/>
  <c r="C103" i="61"/>
  <c r="C102" i="61"/>
  <c r="C101" i="61"/>
  <c r="C100" i="61"/>
  <c r="C99" i="61"/>
  <c r="C98" i="61"/>
  <c r="C97" i="61"/>
  <c r="C96" i="61"/>
  <c r="C95" i="61"/>
  <c r="C94" i="61"/>
  <c r="C93" i="61"/>
  <c r="C92" i="61"/>
  <c r="C91" i="61"/>
  <c r="C90" i="61"/>
  <c r="C89" i="61"/>
  <c r="C88" i="61"/>
  <c r="C87" i="61"/>
  <c r="C86" i="61"/>
  <c r="C85" i="61"/>
  <c r="C84" i="61"/>
  <c r="C83" i="61"/>
  <c r="C82" i="61"/>
  <c r="C81" i="61"/>
  <c r="C80" i="61"/>
  <c r="C79" i="61"/>
  <c r="C78" i="61"/>
  <c r="C77" i="61"/>
  <c r="C76" i="61"/>
  <c r="C75" i="61"/>
  <c r="C74" i="61"/>
  <c r="C73" i="61"/>
  <c r="C72" i="61"/>
  <c r="C71" i="61"/>
  <c r="C70" i="61"/>
  <c r="C69" i="61"/>
  <c r="C68" i="61"/>
  <c r="C67" i="61"/>
  <c r="C66" i="61"/>
  <c r="C65" i="61"/>
  <c r="C64" i="61"/>
  <c r="C63" i="61"/>
  <c r="C62" i="61"/>
  <c r="C61" i="61"/>
  <c r="C60" i="61"/>
  <c r="C59" i="61"/>
  <c r="C58" i="61"/>
  <c r="C57" i="61"/>
  <c r="C56" i="61"/>
  <c r="C55" i="61"/>
  <c r="C54" i="61"/>
  <c r="C53" i="61"/>
  <c r="C52" i="61"/>
  <c r="C51" i="61"/>
  <c r="C50" i="61"/>
  <c r="C49" i="61"/>
  <c r="C48" i="61"/>
  <c r="C47" i="61"/>
  <c r="C46" i="61"/>
  <c r="C45" i="61"/>
  <c r="C44" i="61"/>
  <c r="C43" i="61"/>
  <c r="C42" i="61"/>
  <c r="C41" i="61"/>
  <c r="C40" i="61"/>
  <c r="C39" i="61"/>
  <c r="C38" i="61"/>
  <c r="C37" i="61"/>
  <c r="C36" i="61"/>
  <c r="C35" i="61"/>
  <c r="C34" i="61"/>
  <c r="C33" i="61"/>
  <c r="C32" i="61"/>
  <c r="C31" i="61"/>
  <c r="C30" i="61"/>
  <c r="C29" i="61"/>
  <c r="C28" i="61"/>
  <c r="C27" i="61"/>
  <c r="C23" i="61"/>
  <c r="D23" i="61" s="1"/>
  <c r="C22" i="61"/>
  <c r="D22" i="61" s="1"/>
  <c r="C21" i="61"/>
  <c r="D21" i="61" s="1"/>
  <c r="C20" i="61"/>
  <c r="D20" i="61" s="1"/>
  <c r="C19" i="61"/>
  <c r="D19" i="61" s="1"/>
  <c r="C18" i="61"/>
  <c r="D18" i="61" s="1"/>
  <c r="C17" i="61"/>
  <c r="D17" i="61" s="1"/>
  <c r="C16" i="61"/>
  <c r="D16" i="61" s="1"/>
  <c r="C15" i="61"/>
  <c r="D15" i="61" s="1"/>
  <c r="C14" i="61"/>
  <c r="D14" i="61" s="1"/>
  <c r="C13" i="61"/>
  <c r="D13" i="61" s="1"/>
  <c r="C12" i="61"/>
  <c r="D12" i="61" s="1"/>
  <c r="C11" i="61"/>
  <c r="D11" i="61" s="1"/>
  <c r="C10" i="61"/>
  <c r="D10" i="61" s="1"/>
  <c r="C9" i="61"/>
  <c r="D9" i="61" s="1"/>
  <c r="C8" i="61"/>
  <c r="D8" i="61" s="1"/>
  <c r="C7" i="61"/>
  <c r="D7" i="61" s="1"/>
  <c r="C6" i="61"/>
  <c r="D6" i="61" s="1"/>
  <c r="C5" i="61"/>
  <c r="D5" i="61" s="1"/>
  <c r="C4" i="61"/>
  <c r="D4" i="61" s="1"/>
  <c r="C3" i="61"/>
  <c r="D3" i="61" s="1"/>
  <c r="C2" i="61"/>
  <c r="D2" i="61" s="1"/>
  <c r="M3" i="57"/>
  <c r="C121" i="57"/>
  <c r="C120" i="57"/>
  <c r="C119" i="57"/>
  <c r="C118" i="57"/>
  <c r="C117" i="57"/>
  <c r="C116" i="57"/>
  <c r="C115" i="57"/>
  <c r="C114" i="57"/>
  <c r="C113" i="57"/>
  <c r="C112" i="57"/>
  <c r="C111" i="57"/>
  <c r="C110" i="57"/>
  <c r="C109" i="57"/>
  <c r="C108" i="57"/>
  <c r="C107" i="57"/>
  <c r="C106" i="57"/>
  <c r="C105" i="57"/>
  <c r="C104" i="57"/>
  <c r="C103" i="57"/>
  <c r="C102" i="57"/>
  <c r="C101" i="57"/>
  <c r="C100" i="57"/>
  <c r="C99" i="57"/>
  <c r="C98" i="57"/>
  <c r="C97" i="57"/>
  <c r="C96" i="57"/>
  <c r="C95" i="57"/>
  <c r="C94" i="57"/>
  <c r="C93" i="57"/>
  <c r="C92" i="57"/>
  <c r="C91" i="57"/>
  <c r="C90" i="57"/>
  <c r="C89" i="57"/>
  <c r="C88" i="57"/>
  <c r="C87" i="57"/>
  <c r="C86" i="57"/>
  <c r="C85" i="57"/>
  <c r="C84" i="57"/>
  <c r="C83" i="57"/>
  <c r="C82" i="57"/>
  <c r="C81" i="57"/>
  <c r="C80" i="57"/>
  <c r="C79" i="57"/>
  <c r="C78" i="57"/>
  <c r="C77" i="57"/>
  <c r="C76" i="57"/>
  <c r="C75" i="57"/>
  <c r="C74" i="57"/>
  <c r="C73" i="57"/>
  <c r="C72" i="57"/>
  <c r="C71" i="57"/>
  <c r="C70" i="57"/>
  <c r="C69" i="57"/>
  <c r="C68" i="57"/>
  <c r="C67" i="57"/>
  <c r="C66" i="57"/>
  <c r="C65" i="57"/>
  <c r="C64" i="57"/>
  <c r="C63" i="57"/>
  <c r="C62" i="57"/>
  <c r="C61" i="57"/>
  <c r="C60" i="57"/>
  <c r="C59" i="57"/>
  <c r="C58" i="57"/>
  <c r="C57" i="57"/>
  <c r="C56" i="57"/>
  <c r="C55" i="57"/>
  <c r="C54" i="57"/>
  <c r="C53" i="57"/>
  <c r="C52" i="57"/>
  <c r="C51" i="57"/>
  <c r="C50" i="57"/>
  <c r="C49" i="57"/>
  <c r="C48" i="57"/>
  <c r="C47" i="57"/>
  <c r="C46" i="57"/>
  <c r="C45" i="57"/>
  <c r="C44" i="57"/>
  <c r="C43" i="57"/>
  <c r="C42" i="57"/>
  <c r="C41" i="57"/>
  <c r="C40" i="57"/>
  <c r="C39" i="57"/>
  <c r="C38" i="57"/>
  <c r="C37" i="57"/>
  <c r="C36" i="57"/>
  <c r="C35" i="57"/>
  <c r="C34" i="57"/>
  <c r="C33" i="57"/>
  <c r="C32" i="57"/>
  <c r="C31" i="57"/>
  <c r="C30" i="57"/>
  <c r="C29" i="57"/>
  <c r="C28" i="57"/>
  <c r="C27" i="57"/>
  <c r="C26" i="57"/>
  <c r="C25" i="57"/>
  <c r="C24" i="57"/>
  <c r="C23" i="57"/>
  <c r="C22" i="57"/>
  <c r="C21" i="57"/>
  <c r="C17" i="57"/>
  <c r="D17" i="57" s="1"/>
  <c r="C16" i="57"/>
  <c r="D16" i="57" s="1"/>
  <c r="C15" i="57"/>
  <c r="D15" i="57" s="1"/>
  <c r="C14" i="57"/>
  <c r="D14" i="57" s="1"/>
  <c r="C13" i="57"/>
  <c r="D13" i="57" s="1"/>
  <c r="C12" i="57"/>
  <c r="D12" i="57" s="1"/>
  <c r="C11" i="57"/>
  <c r="D11" i="57" s="1"/>
  <c r="C10" i="57"/>
  <c r="D10" i="57" s="1"/>
  <c r="C9" i="57"/>
  <c r="D9" i="57" s="1"/>
  <c r="C8" i="57"/>
  <c r="D8" i="57" s="1"/>
  <c r="C7" i="57"/>
  <c r="D7" i="57" s="1"/>
  <c r="C6" i="57"/>
  <c r="D6" i="57" s="1"/>
  <c r="C5" i="57"/>
  <c r="D5" i="57" s="1"/>
  <c r="C4" i="57"/>
  <c r="D4" i="57" s="1"/>
  <c r="C3" i="57"/>
  <c r="D3" i="57" s="1"/>
  <c r="C2" i="57"/>
  <c r="D2" i="57" s="1"/>
  <c r="M3" i="42"/>
  <c r="C128" i="42"/>
  <c r="C127" i="42"/>
  <c r="C126" i="42"/>
  <c r="C125" i="42"/>
  <c r="C124" i="42"/>
  <c r="C123" i="42"/>
  <c r="C122" i="42"/>
  <c r="C121" i="42"/>
  <c r="C120" i="42"/>
  <c r="C119" i="42"/>
  <c r="C118" i="42"/>
  <c r="C117" i="42"/>
  <c r="C116" i="42"/>
  <c r="C115" i="42"/>
  <c r="C114" i="42"/>
  <c r="C113" i="42"/>
  <c r="C112" i="42"/>
  <c r="C111" i="42"/>
  <c r="C110" i="42"/>
  <c r="C109" i="42"/>
  <c r="C108" i="42"/>
  <c r="C107" i="42"/>
  <c r="C106" i="42"/>
  <c r="C105" i="42"/>
  <c r="C104" i="42"/>
  <c r="C103" i="42"/>
  <c r="C102" i="42"/>
  <c r="C101" i="42"/>
  <c r="C100" i="42"/>
  <c r="C99" i="42"/>
  <c r="C98" i="42"/>
  <c r="C97" i="42"/>
  <c r="C96" i="42"/>
  <c r="C95" i="42"/>
  <c r="C94" i="42"/>
  <c r="C93" i="42"/>
  <c r="C92" i="42"/>
  <c r="C91" i="42"/>
  <c r="C90" i="42"/>
  <c r="C89" i="42"/>
  <c r="C88" i="42"/>
  <c r="C87" i="42"/>
  <c r="C86" i="42"/>
  <c r="C85" i="42"/>
  <c r="C84" i="42"/>
  <c r="C83" i="42"/>
  <c r="C82" i="42"/>
  <c r="C81" i="42"/>
  <c r="C80" i="42"/>
  <c r="C79" i="42"/>
  <c r="C78" i="42"/>
  <c r="C77" i="42"/>
  <c r="C76" i="42"/>
  <c r="C75" i="42"/>
  <c r="C74" i="42"/>
  <c r="C73" i="42"/>
  <c r="C72" i="42"/>
  <c r="C71" i="42"/>
  <c r="C70" i="42"/>
  <c r="C69" i="42"/>
  <c r="C68" i="42"/>
  <c r="C67" i="42"/>
  <c r="C66" i="42"/>
  <c r="C65" i="42"/>
  <c r="C64" i="42"/>
  <c r="C63" i="42"/>
  <c r="C62" i="42"/>
  <c r="C61" i="42"/>
  <c r="C60" i="42"/>
  <c r="C59" i="42"/>
  <c r="C58" i="42"/>
  <c r="C57" i="42"/>
  <c r="C56" i="42"/>
  <c r="C55" i="42"/>
  <c r="C54" i="42"/>
  <c r="C53" i="42"/>
  <c r="C52" i="42"/>
  <c r="C51" i="42"/>
  <c r="C50" i="42"/>
  <c r="C49" i="42"/>
  <c r="C48" i="42"/>
  <c r="C47" i="42"/>
  <c r="C46" i="42"/>
  <c r="C45" i="42"/>
  <c r="C44" i="42"/>
  <c r="C43" i="42"/>
  <c r="C42" i="42"/>
  <c r="C41" i="42"/>
  <c r="C40" i="42"/>
  <c r="C39" i="42"/>
  <c r="C38" i="42"/>
  <c r="C37" i="42"/>
  <c r="C36" i="42"/>
  <c r="C35" i="42"/>
  <c r="C34" i="42"/>
  <c r="C33" i="42"/>
  <c r="C32" i="42"/>
  <c r="C31" i="42"/>
  <c r="C30" i="42"/>
  <c r="C29" i="42"/>
  <c r="C28" i="42"/>
  <c r="C24" i="42"/>
  <c r="D24" i="42" s="1"/>
  <c r="C23" i="42"/>
  <c r="D23" i="42" s="1"/>
  <c r="C22" i="42"/>
  <c r="D22" i="42" s="1"/>
  <c r="C21" i="42"/>
  <c r="D21" i="42" s="1"/>
  <c r="C20" i="42"/>
  <c r="D20" i="42" s="1"/>
  <c r="C19" i="42"/>
  <c r="D19" i="42" s="1"/>
  <c r="C18" i="42"/>
  <c r="D18" i="42" s="1"/>
  <c r="C17" i="42"/>
  <c r="D17" i="42" s="1"/>
  <c r="C16" i="42"/>
  <c r="D16" i="42" s="1"/>
  <c r="C15" i="42"/>
  <c r="D15" i="42" s="1"/>
  <c r="C14" i="42"/>
  <c r="D14" i="42" s="1"/>
  <c r="C13" i="42"/>
  <c r="D13" i="42" s="1"/>
  <c r="C12" i="42"/>
  <c r="D12" i="42" s="1"/>
  <c r="C11" i="42"/>
  <c r="D11" i="42" s="1"/>
  <c r="C10" i="42"/>
  <c r="D10" i="42" s="1"/>
  <c r="C9" i="42"/>
  <c r="D9" i="42" s="1"/>
  <c r="C8" i="42"/>
  <c r="D8" i="42" s="1"/>
  <c r="C7" i="42"/>
  <c r="D7" i="42" s="1"/>
  <c r="C6" i="42"/>
  <c r="D6" i="42" s="1"/>
  <c r="C5" i="42"/>
  <c r="D5" i="42" s="1"/>
  <c r="C4" i="42"/>
  <c r="D4" i="42" s="1"/>
  <c r="C3" i="42"/>
  <c r="D3" i="42" s="1"/>
  <c r="C2" i="42"/>
  <c r="D2" i="42" s="1"/>
  <c r="M3" i="25"/>
  <c r="C124" i="25"/>
  <c r="C123" i="25"/>
  <c r="C122" i="25"/>
  <c r="C121" i="25"/>
  <c r="C120" i="25"/>
  <c r="C119" i="25"/>
  <c r="C118" i="25"/>
  <c r="C117" i="25"/>
  <c r="C116" i="25"/>
  <c r="C115" i="25"/>
  <c r="C114" i="25"/>
  <c r="C113" i="25"/>
  <c r="C112" i="25"/>
  <c r="C111" i="25"/>
  <c r="C110" i="25"/>
  <c r="C109" i="25"/>
  <c r="C108" i="25"/>
  <c r="C107" i="25"/>
  <c r="C106" i="25"/>
  <c r="C105" i="25"/>
  <c r="C104" i="25"/>
  <c r="C103" i="25"/>
  <c r="C102" i="25"/>
  <c r="C101" i="25"/>
  <c r="C100" i="25"/>
  <c r="C99" i="25"/>
  <c r="C98" i="25"/>
  <c r="C97" i="25"/>
  <c r="C96" i="25"/>
  <c r="C95" i="25"/>
  <c r="C94" i="25"/>
  <c r="C93" i="25"/>
  <c r="C92" i="25"/>
  <c r="C91" i="25"/>
  <c r="C90" i="25"/>
  <c r="C89" i="25"/>
  <c r="C88" i="25"/>
  <c r="C87" i="25"/>
  <c r="C86" i="25"/>
  <c r="C85" i="25"/>
  <c r="C84" i="25"/>
  <c r="C83" i="25"/>
  <c r="C82" i="25"/>
  <c r="C81" i="25"/>
  <c r="C80" i="25"/>
  <c r="C79" i="25"/>
  <c r="C78" i="25"/>
  <c r="C77" i="25"/>
  <c r="C76" i="25"/>
  <c r="C75" i="25"/>
  <c r="C74" i="25"/>
  <c r="C73" i="25"/>
  <c r="C72" i="25"/>
  <c r="C71" i="25"/>
  <c r="C70" i="25"/>
  <c r="C69" i="25"/>
  <c r="C68" i="25"/>
  <c r="C67" i="25"/>
  <c r="C66" i="25"/>
  <c r="C65" i="25"/>
  <c r="C64" i="25"/>
  <c r="C63" i="25"/>
  <c r="C62" i="25"/>
  <c r="C61" i="25"/>
  <c r="C60" i="25"/>
  <c r="C59" i="25"/>
  <c r="C58" i="25"/>
  <c r="C57" i="25"/>
  <c r="C56" i="25"/>
  <c r="C55" i="25"/>
  <c r="C54" i="25"/>
  <c r="C53" i="25"/>
  <c r="C52" i="25"/>
  <c r="C51" i="25"/>
  <c r="C50" i="25"/>
  <c r="C49" i="25"/>
  <c r="C48" i="25"/>
  <c r="C47" i="25"/>
  <c r="C46" i="25"/>
  <c r="C45" i="25"/>
  <c r="C44" i="25"/>
  <c r="C43" i="25"/>
  <c r="C42" i="25"/>
  <c r="C41" i="25"/>
  <c r="C40" i="25"/>
  <c r="C39" i="25"/>
  <c r="C38" i="25"/>
  <c r="C37" i="25"/>
  <c r="C36" i="25"/>
  <c r="C35" i="25"/>
  <c r="C34" i="25"/>
  <c r="C33" i="25"/>
  <c r="C32" i="25"/>
  <c r="C31" i="25"/>
  <c r="C30" i="25"/>
  <c r="C29" i="25"/>
  <c r="C28" i="25"/>
  <c r="C27" i="25"/>
  <c r="C26" i="25"/>
  <c r="C25" i="25"/>
  <c r="C24" i="25"/>
  <c r="C20" i="25"/>
  <c r="D20" i="25" s="1"/>
  <c r="C19" i="25"/>
  <c r="D19" i="25" s="1"/>
  <c r="C18" i="25"/>
  <c r="D18" i="25" s="1"/>
  <c r="C17" i="25"/>
  <c r="D17" i="25" s="1"/>
  <c r="C16" i="25"/>
  <c r="D16" i="25" s="1"/>
  <c r="C15" i="25"/>
  <c r="D15" i="25" s="1"/>
  <c r="C14" i="25"/>
  <c r="D14" i="25" s="1"/>
  <c r="C13" i="25"/>
  <c r="D13" i="25" s="1"/>
  <c r="C12" i="25"/>
  <c r="D12" i="25" s="1"/>
  <c r="C11" i="25"/>
  <c r="D11" i="25" s="1"/>
  <c r="C10" i="25"/>
  <c r="D10" i="25" s="1"/>
  <c r="C9" i="25"/>
  <c r="D9" i="25" s="1"/>
  <c r="C8" i="25"/>
  <c r="D8" i="25" s="1"/>
  <c r="C7" i="25"/>
  <c r="D7" i="25" s="1"/>
  <c r="C6" i="25"/>
  <c r="D6" i="25" s="1"/>
  <c r="C5" i="25"/>
  <c r="D5" i="25" s="1"/>
  <c r="C4" i="25"/>
  <c r="D4" i="25" s="1"/>
  <c r="C3" i="25"/>
  <c r="D3" i="25" s="1"/>
  <c r="C2" i="25"/>
  <c r="D2" i="25" s="1"/>
  <c r="E22" i="9"/>
  <c r="E21" i="9"/>
  <c r="E13" i="9"/>
  <c r="E20" i="9"/>
  <c r="E12" i="9"/>
  <c r="E19" i="9"/>
  <c r="E11" i="9"/>
  <c r="E6" i="9"/>
  <c r="E18" i="9"/>
  <c r="E10" i="9"/>
  <c r="E5" i="9"/>
  <c r="E17" i="9"/>
  <c r="E9" i="9"/>
  <c r="E4" i="9"/>
  <c r="E16" i="9"/>
  <c r="E8" i="9"/>
  <c r="E3" i="9"/>
  <c r="E15" i="9"/>
  <c r="E7" i="9"/>
  <c r="E2" i="9"/>
  <c r="E17" i="11"/>
  <c r="E11" i="11"/>
  <c r="E16" i="11"/>
  <c r="E15" i="11"/>
  <c r="E9" i="11"/>
  <c r="E5" i="11"/>
  <c r="E14" i="11"/>
  <c r="E8" i="11"/>
  <c r="E4" i="11"/>
  <c r="E13" i="11"/>
  <c r="E7" i="11"/>
  <c r="E3" i="11"/>
  <c r="E12" i="11"/>
  <c r="E6" i="11"/>
  <c r="E2" i="11"/>
  <c r="F23" i="14"/>
  <c r="F17" i="14"/>
  <c r="F10" i="14"/>
  <c r="F22" i="14"/>
  <c r="F9" i="14"/>
  <c r="F8" i="14"/>
  <c r="F21" i="14"/>
  <c r="F16" i="14"/>
  <c r="F7" i="14"/>
  <c r="F15" i="14"/>
  <c r="F6" i="14"/>
  <c r="F14" i="14"/>
  <c r="F5" i="14"/>
  <c r="F20" i="14"/>
  <c r="F13" i="14"/>
  <c r="F4" i="14"/>
  <c r="F19" i="14"/>
  <c r="F12" i="14"/>
  <c r="F3" i="14"/>
  <c r="F18" i="14"/>
  <c r="F11" i="14"/>
  <c r="F2" i="14"/>
  <c r="F8" i="12"/>
  <c r="F7" i="12"/>
  <c r="F17" i="12"/>
  <c r="F13" i="12"/>
  <c r="F6" i="12"/>
  <c r="F12" i="12"/>
  <c r="F5" i="12"/>
  <c r="F16" i="12"/>
  <c r="F11" i="12"/>
  <c r="F4" i="12"/>
  <c r="F15" i="12"/>
  <c r="F10" i="12"/>
  <c r="F3" i="12"/>
  <c r="F14" i="12"/>
  <c r="F9" i="12"/>
  <c r="F2" i="12"/>
  <c r="F24" i="8"/>
  <c r="F16" i="8"/>
  <c r="F23" i="8"/>
  <c r="F15" i="8"/>
  <c r="F8" i="8"/>
  <c r="F22" i="8"/>
  <c r="F14" i="8"/>
  <c r="F7" i="8"/>
  <c r="F21" i="8"/>
  <c r="F13" i="8"/>
  <c r="F6" i="8"/>
  <c r="F20" i="8"/>
  <c r="F12" i="8"/>
  <c r="F5" i="8"/>
  <c r="F19" i="8"/>
  <c r="F11" i="8"/>
  <c r="F4" i="8"/>
  <c r="F18" i="8"/>
  <c r="F10" i="8"/>
  <c r="F3" i="8"/>
  <c r="F17" i="8"/>
  <c r="F9" i="8"/>
  <c r="F2" i="8"/>
  <c r="E20" i="7"/>
  <c r="E12" i="7"/>
  <c r="E19" i="7"/>
  <c r="E11" i="7"/>
  <c r="E18" i="7"/>
  <c r="E10" i="7"/>
  <c r="E17" i="7"/>
  <c r="E9" i="7"/>
  <c r="E5" i="7"/>
  <c r="E15" i="7"/>
  <c r="E8" i="7"/>
  <c r="E4" i="7"/>
  <c r="E14" i="7"/>
  <c r="E7" i="7"/>
  <c r="E3" i="7"/>
  <c r="E13" i="7"/>
  <c r="E6" i="7"/>
  <c r="E2" i="7"/>
  <c r="D23" i="63" l="1"/>
  <c r="D24" i="61"/>
  <c r="D18" i="57"/>
  <c r="D25" i="42"/>
  <c r="D21" i="25"/>
</calcChain>
</file>

<file path=xl/sharedStrings.xml><?xml version="1.0" encoding="utf-8"?>
<sst xmlns="http://schemas.openxmlformats.org/spreadsheetml/2006/main" count="894" uniqueCount="45">
  <si>
    <t>Time</t>
  </si>
  <si>
    <t>CFU</t>
  </si>
  <si>
    <t>Strain</t>
  </si>
  <si>
    <t>A</t>
  </si>
  <si>
    <t>B</t>
  </si>
  <si>
    <t>C</t>
  </si>
  <si>
    <t>Replicate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</si>
  <si>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</si>
  <si>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</si>
  <si>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</si>
  <si>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</si>
  <si>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</si>
  <si>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</si>
  <si>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LOG10(N0)</t>
  </si>
  <si>
    <t>delta</t>
  </si>
  <si>
    <t>p</t>
  </si>
  <si>
    <t>LOG10(Nres)</t>
  </si>
  <si>
    <t>delta1</t>
  </si>
  <si>
    <t>alpha</t>
  </si>
  <si>
    <t>delta2</t>
  </si>
  <si>
    <t>Standard Error</t>
  </si>
  <si>
    <t>Mean Sum of Squared Error</t>
  </si>
  <si>
    <t>R-Square</t>
  </si>
  <si>
    <t>R-Square adjusted</t>
  </si>
  <si>
    <t>Root Mean Sum of Squared Error</t>
  </si>
  <si>
    <t>Inactivation model identified</t>
  </si>
  <si>
    <t>N=N0/(1+10^alfa)*(10^(-((t-1)/delta1)^p+alfa)+10^(-((-1)/delta2)**p))</t>
  </si>
  <si>
    <t>For identification purposes reformulated as</t>
  </si>
  <si>
    <t>LOG10(N)=log10(10**N0/(1+10**alfa)*(10**(-(t/delta1)**p+alfa)+10**(-(t/delta2)**p)))</t>
  </si>
  <si>
    <t>as can be derived from</t>
  </si>
  <si>
    <t>Coroller et al. 2006. General Model Based on Two Mixed Weibull Distributions of Bacterial Resistance for Describing Various Shapes of Inactivation Curves. Applied and Environmental Microbilogy, 72, 6493-6502</t>
  </si>
  <si>
    <t>N/N0= 10**(-((t/delta)**p))</t>
  </si>
  <si>
    <t>LOG10(N)=LOG10(N0)-((t/delta)**p)</t>
  </si>
  <si>
    <t>P. Mafart, O. Couvert, S. Gaillard and I. Leguerinel 2002. On calculating sterility in thermal preservation methods: application of the Weibull frequency distribution model. International Journal of Food Microbiology, 72, 107-113</t>
  </si>
  <si>
    <t>N= (N0-Nres)10**(-((t/delta)**p))+ Nres</t>
  </si>
  <si>
    <t>LOG10(N)=LOG10((10**LOG10(N0)-10**LOG10(Nres))*10**((-t/delta)**p)+10**log10(Nres))</t>
  </si>
  <si>
    <t>I. Albert and P. Mafart 2005. A modified Weibull model for bacterial inactivation. International Journal of Food Microbiology, 100, 197-211</t>
  </si>
  <si>
    <t>4D reduction is reached at</t>
  </si>
  <si>
    <t>units of time</t>
  </si>
  <si>
    <t>±21.12</t>
  </si>
  <si>
    <t>Temperature</t>
  </si>
  <si>
    <t>70C</t>
  </si>
  <si>
    <t>Pre-chilled</t>
  </si>
  <si>
    <t>Un-chilled</t>
  </si>
  <si>
    <t>Treatment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</si>
</sst>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2" fontId="1" fillId="0" borderId="0" xfId="0" applyNumberFormat="1" applyFont="1" applyAlignment="1">
      <alignment wrapText="1"/>
    </xf>
    <xf numFmtId="2" fontId="1" fillId="0" borderId="0" xfId="0" applyNumberFormat="1" applyFont="1"/>
    <xf numFmtId="2" fontId="2" fillId="0" borderId="0" xfId="0" applyNumberFormat="1" applyFont="1"/>
    <xf numFmtId="0" fontId="2" fillId="0" borderId="0" xfId="0" applyFont="1"/>
    <xf numFmtId="2" fontId="1" fillId="0" borderId="0" xfId="0" applyNumberFormat="1" applyFont="1" applyAlignment="1">
      <alignment horizontal="right"/>
    </xf>
    <xf numFmtId="164" fontId="2" fillId="0" borderId="0" xfId="0" applyNumberFormat="1" applyFont="1"/>
    <xf numFmtId="0" fontId="0" fillId="0" borderId="0" xfId="0" applyFont="1"/>
    <xf numFmtId="2" fontId="0" fillId="0" borderId="0" xfId="0" applyNumberFormat="1" applyFont="1"/>
    <xf numFmtId="164" fontId="0" fillId="0" borderId="0" xfId="0" applyNumberFormat="1" applyFont="1"/>
    <xf numFmtId="2" fontId="2" fillId="0" borderId="0" xfId="0" applyNumberFormat="1" applyFont="1" applyAlignment="1">
      <alignment horizontal="right"/>
    </xf>
    <xf numFmtId="2" fontId="2" fillId="0" borderId="0" xfId="0" applyNumberFormat="1" applyFont="1" applyAlignment="1">
      <alignment wrapText="1"/>
    </xf>
    <xf numFmtId="0" fontId="2" fillId="0" borderId="0" xfId="0" applyFont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Un-chilled Coroller'!$A$2:$A$22</c:f>
              <c:numCache>
                <c:formatCode>0.00</c:formatCode>
                <c:ptCount val="21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0</c:v>
                </c:pt>
                <c:pt idx="6">
                  <c:v>10</c:v>
                </c:pt>
                <c:pt idx="7">
                  <c:v>12</c:v>
                </c:pt>
                <c:pt idx="8">
                  <c:v>14</c:v>
                </c:pt>
                <c:pt idx="9">
                  <c:v>16</c:v>
                </c:pt>
                <c:pt idx="10">
                  <c:v>18</c:v>
                </c:pt>
                <c:pt idx="11">
                  <c:v>20</c:v>
                </c:pt>
                <c:pt idx="12">
                  <c:v>22</c:v>
                </c:pt>
                <c:pt idx="13">
                  <c:v>0</c:v>
                </c:pt>
                <c:pt idx="14">
                  <c:v>10</c:v>
                </c:pt>
                <c:pt idx="15">
                  <c:v>12</c:v>
                </c:pt>
                <c:pt idx="16">
                  <c:v>14</c:v>
                </c:pt>
                <c:pt idx="17">
                  <c:v>16</c:v>
                </c:pt>
                <c:pt idx="18">
                  <c:v>18</c:v>
                </c:pt>
                <c:pt idx="19">
                  <c:v>20</c:v>
                </c:pt>
                <c:pt idx="20">
                  <c:v>22</c:v>
                </c:pt>
              </c:numCache>
            </c:numRef>
          </c:xVal>
          <c:yVal>
            <c:numRef>
              <c:f>'12628 Un-chilled Coroller'!$B$2:$B$22</c:f>
              <c:numCache>
                <c:formatCode>0.00</c:formatCode>
                <c:ptCount val="21"/>
                <c:pt idx="0">
                  <c:v>5.9030899869919438</c:v>
                </c:pt>
                <c:pt idx="1">
                  <c:v>5.5185139398778871</c:v>
                </c:pt>
                <c:pt idx="2">
                  <c:v>4.7781512503836439</c:v>
                </c:pt>
                <c:pt idx="3">
                  <c:v>2.7781512503836434</c:v>
                </c:pt>
                <c:pt idx="4">
                  <c:v>2.8129133566428557</c:v>
                </c:pt>
                <c:pt idx="5">
                  <c:v>5.6720978579357171</c:v>
                </c:pt>
                <c:pt idx="6">
                  <c:v>5.8633228601204559</c:v>
                </c:pt>
                <c:pt idx="7">
                  <c:v>4.0413926851582254</c:v>
                </c:pt>
                <c:pt idx="8">
                  <c:v>3</c:v>
                </c:pt>
                <c:pt idx="9">
                  <c:v>3.1303337684950061</c:v>
                </c:pt>
                <c:pt idx="10">
                  <c:v>1.9294189257142926</c:v>
                </c:pt>
                <c:pt idx="11">
                  <c:v>2.8129133566428557</c:v>
                </c:pt>
                <c:pt idx="13">
                  <c:v>5.568201724066995</c:v>
                </c:pt>
                <c:pt idx="14">
                  <c:v>5.4313637641589869</c:v>
                </c:pt>
                <c:pt idx="15">
                  <c:v>3.2624510897304293</c:v>
                </c:pt>
                <c:pt idx="16">
                  <c:v>3.0149403497929366</c:v>
                </c:pt>
                <c:pt idx="17">
                  <c:v>2.4771212547196626</c:v>
                </c:pt>
                <c:pt idx="18">
                  <c:v>2.7403626894942437</c:v>
                </c:pt>
                <c:pt idx="19">
                  <c:v>3.1760912590556813</c:v>
                </c:pt>
                <c:pt idx="20">
                  <c:v>2.3979400086720375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'12628 Un-chilled Coroller'!$A$26:$A$126</c:f>
              <c:numCache>
                <c:formatCode>0.00</c:formatCode>
                <c:ptCount val="101"/>
                <c:pt idx="0">
                  <c:v>0</c:v>
                </c:pt>
                <c:pt idx="1">
                  <c:v>0.22</c:v>
                </c:pt>
                <c:pt idx="2">
                  <c:v>0.44</c:v>
                </c:pt>
                <c:pt idx="3">
                  <c:v>0.66</c:v>
                </c:pt>
                <c:pt idx="4">
                  <c:v>0.88</c:v>
                </c:pt>
                <c:pt idx="5">
                  <c:v>1.1000000000000001</c:v>
                </c:pt>
                <c:pt idx="6">
                  <c:v>1.32</c:v>
                </c:pt>
                <c:pt idx="7">
                  <c:v>1.54</c:v>
                </c:pt>
                <c:pt idx="8">
                  <c:v>1.76</c:v>
                </c:pt>
                <c:pt idx="9">
                  <c:v>1.98</c:v>
                </c:pt>
                <c:pt idx="10">
                  <c:v>2.2000000000000002</c:v>
                </c:pt>
                <c:pt idx="11">
                  <c:v>2.4200000000000004</c:v>
                </c:pt>
                <c:pt idx="12">
                  <c:v>2.6400000000000006</c:v>
                </c:pt>
                <c:pt idx="13">
                  <c:v>2.8600000000000008</c:v>
                </c:pt>
                <c:pt idx="14">
                  <c:v>3.080000000000001</c:v>
                </c:pt>
                <c:pt idx="15">
                  <c:v>3.3000000000000012</c:v>
                </c:pt>
                <c:pt idx="16">
                  <c:v>3.5200000000000014</c:v>
                </c:pt>
                <c:pt idx="17">
                  <c:v>3.7400000000000015</c:v>
                </c:pt>
                <c:pt idx="18">
                  <c:v>3.9600000000000017</c:v>
                </c:pt>
                <c:pt idx="19">
                  <c:v>4.1800000000000015</c:v>
                </c:pt>
                <c:pt idx="20">
                  <c:v>4.4000000000000012</c:v>
                </c:pt>
                <c:pt idx="21">
                  <c:v>4.620000000000001</c:v>
                </c:pt>
                <c:pt idx="22">
                  <c:v>4.8400000000000007</c:v>
                </c:pt>
                <c:pt idx="23">
                  <c:v>5.0600000000000005</c:v>
                </c:pt>
                <c:pt idx="24">
                  <c:v>5.28</c:v>
                </c:pt>
                <c:pt idx="25">
                  <c:v>5.5</c:v>
                </c:pt>
                <c:pt idx="26">
                  <c:v>5.72</c:v>
                </c:pt>
                <c:pt idx="27">
                  <c:v>5.9399999999999995</c:v>
                </c:pt>
                <c:pt idx="28">
                  <c:v>6.1599999999999993</c:v>
                </c:pt>
                <c:pt idx="29">
                  <c:v>6.379999999999999</c:v>
                </c:pt>
                <c:pt idx="30">
                  <c:v>6.5999999999999988</c:v>
                </c:pt>
                <c:pt idx="31">
                  <c:v>6.8199999999999985</c:v>
                </c:pt>
                <c:pt idx="32">
                  <c:v>7.0399999999999983</c:v>
                </c:pt>
                <c:pt idx="33">
                  <c:v>7.259999999999998</c:v>
                </c:pt>
                <c:pt idx="34">
                  <c:v>7.4799999999999978</c:v>
                </c:pt>
                <c:pt idx="35">
                  <c:v>7.6999999999999975</c:v>
                </c:pt>
                <c:pt idx="36">
                  <c:v>7.9199999999999973</c:v>
                </c:pt>
                <c:pt idx="37">
                  <c:v>8.139999999999997</c:v>
                </c:pt>
                <c:pt idx="38">
                  <c:v>8.3599999999999977</c:v>
                </c:pt>
                <c:pt idx="39">
                  <c:v>8.5799999999999983</c:v>
                </c:pt>
                <c:pt idx="40">
                  <c:v>8.7999999999999989</c:v>
                </c:pt>
                <c:pt idx="41">
                  <c:v>9.02</c:v>
                </c:pt>
                <c:pt idx="42">
                  <c:v>9.24</c:v>
                </c:pt>
                <c:pt idx="43">
                  <c:v>9.4600000000000009</c:v>
                </c:pt>
                <c:pt idx="44">
                  <c:v>9.6800000000000015</c:v>
                </c:pt>
                <c:pt idx="45">
                  <c:v>9.9000000000000021</c:v>
                </c:pt>
                <c:pt idx="46">
                  <c:v>10.120000000000003</c:v>
                </c:pt>
                <c:pt idx="47">
                  <c:v>10.340000000000003</c:v>
                </c:pt>
                <c:pt idx="48">
                  <c:v>10.560000000000004</c:v>
                </c:pt>
                <c:pt idx="49">
                  <c:v>10.780000000000005</c:v>
                </c:pt>
                <c:pt idx="50">
                  <c:v>11.000000000000005</c:v>
                </c:pt>
                <c:pt idx="51">
                  <c:v>11.220000000000006</c:v>
                </c:pt>
                <c:pt idx="52">
                  <c:v>11.440000000000007</c:v>
                </c:pt>
                <c:pt idx="53">
                  <c:v>11.660000000000007</c:v>
                </c:pt>
                <c:pt idx="54">
                  <c:v>11.880000000000008</c:v>
                </c:pt>
                <c:pt idx="55">
                  <c:v>12.100000000000009</c:v>
                </c:pt>
                <c:pt idx="56">
                  <c:v>12.320000000000009</c:v>
                </c:pt>
                <c:pt idx="57">
                  <c:v>12.54000000000001</c:v>
                </c:pt>
                <c:pt idx="58">
                  <c:v>12.76000000000001</c:v>
                </c:pt>
                <c:pt idx="59">
                  <c:v>12.980000000000011</c:v>
                </c:pt>
                <c:pt idx="60">
                  <c:v>13.200000000000012</c:v>
                </c:pt>
                <c:pt idx="61">
                  <c:v>13.420000000000012</c:v>
                </c:pt>
                <c:pt idx="62">
                  <c:v>13.640000000000013</c:v>
                </c:pt>
                <c:pt idx="63">
                  <c:v>13.860000000000014</c:v>
                </c:pt>
                <c:pt idx="64">
                  <c:v>14.080000000000014</c:v>
                </c:pt>
                <c:pt idx="65">
                  <c:v>14.300000000000015</c:v>
                </c:pt>
                <c:pt idx="66">
                  <c:v>14.520000000000016</c:v>
                </c:pt>
                <c:pt idx="67">
                  <c:v>14.740000000000016</c:v>
                </c:pt>
                <c:pt idx="68">
                  <c:v>14.960000000000017</c:v>
                </c:pt>
                <c:pt idx="69">
                  <c:v>15.180000000000017</c:v>
                </c:pt>
                <c:pt idx="70">
                  <c:v>15.400000000000018</c:v>
                </c:pt>
                <c:pt idx="71">
                  <c:v>15.620000000000019</c:v>
                </c:pt>
                <c:pt idx="72">
                  <c:v>15.840000000000019</c:v>
                </c:pt>
                <c:pt idx="73">
                  <c:v>16.06000000000002</c:v>
                </c:pt>
                <c:pt idx="74">
                  <c:v>16.280000000000019</c:v>
                </c:pt>
                <c:pt idx="75">
                  <c:v>16.500000000000018</c:v>
                </c:pt>
                <c:pt idx="76">
                  <c:v>16.720000000000017</c:v>
                </c:pt>
                <c:pt idx="77">
                  <c:v>16.940000000000015</c:v>
                </c:pt>
                <c:pt idx="78">
                  <c:v>17.160000000000014</c:v>
                </c:pt>
                <c:pt idx="79">
                  <c:v>17.380000000000013</c:v>
                </c:pt>
                <c:pt idx="80">
                  <c:v>17.600000000000012</c:v>
                </c:pt>
                <c:pt idx="81">
                  <c:v>17.820000000000011</c:v>
                </c:pt>
                <c:pt idx="82">
                  <c:v>18.04000000000001</c:v>
                </c:pt>
                <c:pt idx="83">
                  <c:v>18.260000000000009</c:v>
                </c:pt>
                <c:pt idx="84">
                  <c:v>18.480000000000008</c:v>
                </c:pt>
                <c:pt idx="85">
                  <c:v>18.700000000000006</c:v>
                </c:pt>
                <c:pt idx="86">
                  <c:v>18.920000000000005</c:v>
                </c:pt>
                <c:pt idx="87">
                  <c:v>19.140000000000004</c:v>
                </c:pt>
                <c:pt idx="88">
                  <c:v>19.360000000000003</c:v>
                </c:pt>
                <c:pt idx="89">
                  <c:v>19.580000000000002</c:v>
                </c:pt>
                <c:pt idx="90">
                  <c:v>19.8</c:v>
                </c:pt>
                <c:pt idx="91">
                  <c:v>20.02</c:v>
                </c:pt>
                <c:pt idx="92">
                  <c:v>20.239999999999998</c:v>
                </c:pt>
                <c:pt idx="93">
                  <c:v>20.459999999999997</c:v>
                </c:pt>
                <c:pt idx="94">
                  <c:v>20.679999999999996</c:v>
                </c:pt>
                <c:pt idx="95">
                  <c:v>20.899999999999995</c:v>
                </c:pt>
                <c:pt idx="96">
                  <c:v>21.119999999999994</c:v>
                </c:pt>
                <c:pt idx="97">
                  <c:v>21.339999999999993</c:v>
                </c:pt>
                <c:pt idx="98">
                  <c:v>21.559999999999992</c:v>
                </c:pt>
                <c:pt idx="99">
                  <c:v>21.77999999999999</c:v>
                </c:pt>
                <c:pt idx="100">
                  <c:v>21.999999999999989</c:v>
                </c:pt>
              </c:numCache>
            </c:numRef>
          </c:xVal>
          <c:yVal>
            <c:numRef>
              <c:f>'12628 Un-chilled Coroller'!$C$26:$C$126</c:f>
              <c:numCache>
                <c:formatCode>0.00</c:formatCode>
                <c:ptCount val="101"/>
                <c:pt idx="0">
                  <c:v>5.9135061832369962</c:v>
                </c:pt>
                <c:pt idx="1">
                  <c:v>5.9135061831680797</c:v>
                </c:pt>
                <c:pt idx="2">
                  <c:v>5.9135061788263537</c:v>
                </c:pt>
                <c:pt idx="3">
                  <c:v>5.9135061329970231</c:v>
                </c:pt>
                <c:pt idx="4">
                  <c:v>5.9135059009558866</c:v>
                </c:pt>
                <c:pt idx="5">
                  <c:v>5.9135051064200193</c:v>
                </c:pt>
                <c:pt idx="6">
                  <c:v>5.9135029678787445</c:v>
                </c:pt>
                <c:pt idx="7">
                  <c:v>5.9134980753048971</c:v>
                </c:pt>
                <c:pt idx="8">
                  <c:v>5.9134881172464819</c:v>
                </c:pt>
                <c:pt idx="9">
                  <c:v>5.9134695582988801</c:v>
                </c:pt>
                <c:pt idx="10">
                  <c:v>5.9134372669580344</c:v>
                </c:pt>
                <c:pt idx="11">
                  <c:v>5.9133840938553988</c:v>
                </c:pt>
                <c:pt idx="12">
                  <c:v>5.9133004003761309</c:v>
                </c:pt>
                <c:pt idx="13">
                  <c:v>5.9131735376630523</c:v>
                </c:pt>
                <c:pt idx="14">
                  <c:v>5.9129872760105009</c:v>
                </c:pt>
                <c:pt idx="15">
                  <c:v>5.9127211846545373</c:v>
                </c:pt>
                <c:pt idx="16">
                  <c:v>5.9123499619692916</c:v>
                </c:pt>
                <c:pt idx="17">
                  <c:v>5.9118427160837976</c:v>
                </c:pt>
                <c:pt idx="18">
                  <c:v>5.9111621959399159</c:v>
                </c:pt>
                <c:pt idx="19">
                  <c:v>5.9102639728202933</c:v>
                </c:pt>
                <c:pt idx="20">
                  <c:v>5.9090955723863283</c:v>
                </c:pt>
                <c:pt idx="21">
                  <c:v>5.9075955572806897</c:v>
                </c:pt>
                <c:pt idx="22">
                  <c:v>5.9056925603679655</c:v>
                </c:pt>
                <c:pt idx="23">
                  <c:v>5.9033042687119854</c:v>
                </c:pt>
                <c:pt idx="24">
                  <c:v>5.9003363584211561</c:v>
                </c:pt>
                <c:pt idx="25">
                  <c:v>5.8966813805363971</c:v>
                </c:pt>
                <c:pt idx="26">
                  <c:v>5.8922175981937608</c:v>
                </c:pt>
                <c:pt idx="27">
                  <c:v>5.886807775370908</c:v>
                </c:pt>
                <c:pt idx="28">
                  <c:v>5.880297917630954</c:v>
                </c:pt>
                <c:pt idx="29">
                  <c:v>5.8725159654199208</c:v>
                </c:pt>
                <c:pt idx="30">
                  <c:v>5.8632704406715348</c:v>
                </c:pt>
                <c:pt idx="31">
                  <c:v>5.8523490477492626</c:v>
                </c:pt>
                <c:pt idx="32">
                  <c:v>5.8395172301462654</c:v>
                </c:pt>
                <c:pt idx="33">
                  <c:v>5.8245166849230374</c:v>
                </c:pt>
                <c:pt idx="34">
                  <c:v>5.8070638376718602</c:v>
                </c:pt>
                <c:pt idx="35">
                  <c:v>5.7868482819825786</c:v>
                </c:pt>
                <c:pt idx="36">
                  <c:v>5.7635311891414469</c:v>
                </c:pt>
                <c:pt idx="37">
                  <c:v>5.7367436964326606</c:v>
                </c:pt>
                <c:pt idx="38">
                  <c:v>5.7060852864237015</c:v>
                </c:pt>
                <c:pt idx="39">
                  <c:v>5.6711221758001269</c:v>
                </c:pt>
                <c:pt idx="40">
                  <c:v>5.6313857419867341</c:v>
                </c:pt>
                <c:pt idx="41">
                  <c:v>5.5863710311440808</c:v>
                </c:pt>
                <c:pt idx="42">
                  <c:v>5.5355354158839383</c:v>
                </c:pt>
                <c:pt idx="43">
                  <c:v>5.4782975116221033</c:v>
                </c:pt>
                <c:pt idx="44">
                  <c:v>5.4140365281377987</c:v>
                </c:pt>
                <c:pt idx="45">
                  <c:v>5.3420923477165578</c:v>
                </c:pt>
                <c:pt idx="46">
                  <c:v>5.2617668196646283</c:v>
                </c:pt>
                <c:pt idx="47">
                  <c:v>5.1723271102607047</c:v>
                </c:pt>
                <c:pt idx="48">
                  <c:v>5.0730125734232399</c:v>
                </c:pt>
                <c:pt idx="49">
                  <c:v>4.9630477498403938</c:v>
                </c:pt>
                <c:pt idx="50">
                  <c:v>4.8416662188142654</c:v>
                </c:pt>
                <c:pt idx="51">
                  <c:v>4.7081539910995494</c:v>
                </c:pt>
                <c:pt idx="52">
                  <c:v>4.5619285716557805</c:v>
                </c:pt>
                <c:pt idx="53">
                  <c:v>4.402683574923647</c:v>
                </c:pt>
                <c:pt idx="54">
                  <c:v>4.2306528776276124</c:v>
                </c:pt>
                <c:pt idx="55">
                  <c:v>4.0470845821663062</c:v>
                </c:pt>
                <c:pt idx="56">
                  <c:v>3.8550455075808556</c:v>
                </c:pt>
                <c:pt idx="57">
                  <c:v>3.660604094888197</c:v>
                </c:pt>
                <c:pt idx="58">
                  <c:v>3.473977225261176</c:v>
                </c:pt>
                <c:pt idx="59">
                  <c:v>3.3090568660103328</c:v>
                </c:pt>
                <c:pt idx="60">
                  <c:v>3.1789836002254206</c:v>
                </c:pt>
                <c:pt idx="61">
                  <c:v>3.0889143713111546</c:v>
                </c:pt>
                <c:pt idx="62">
                  <c:v>3.0331927779009193</c:v>
                </c:pt>
                <c:pt idx="63">
                  <c:v>3.0004314465836281</c:v>
                </c:pt>
                <c:pt idx="64">
                  <c:v>2.9801460492028378</c:v>
                </c:pt>
                <c:pt idx="65">
                  <c:v>2.9654676799380209</c:v>
                </c:pt>
                <c:pt idx="66">
                  <c:v>2.952715912625087</c:v>
                </c:pt>
                <c:pt idx="67">
                  <c:v>2.9401610610063709</c:v>
                </c:pt>
                <c:pt idx="68">
                  <c:v>2.9270563354442292</c:v>
                </c:pt>
                <c:pt idx="69">
                  <c:v>2.9130870839325609</c:v>
                </c:pt>
                <c:pt idx="70">
                  <c:v>2.8981072296345469</c:v>
                </c:pt>
                <c:pt idx="71">
                  <c:v>2.8820285197262643</c:v>
                </c:pt>
                <c:pt idx="72">
                  <c:v>2.8647791283480242</c:v>
                </c:pt>
                <c:pt idx="73">
                  <c:v>2.8462898470243165</c:v>
                </c:pt>
                <c:pt idx="74">
                  <c:v>2.8264899542513335</c:v>
                </c:pt>
                <c:pt idx="75">
                  <c:v>2.8053060785306765</c:v>
                </c:pt>
                <c:pt idx="76">
                  <c:v>2.7826618745145368</c:v>
                </c:pt>
                <c:pt idx="77">
                  <c:v>2.7584778918234267</c:v>
                </c:pt>
                <c:pt idx="78">
                  <c:v>2.7326714829304484</c:v>
                </c:pt>
                <c:pt idx="79">
                  <c:v>2.7051567171549062</c:v>
                </c:pt>
                <c:pt idx="80">
                  <c:v>2.6758442946653518</c:v>
                </c:pt>
                <c:pt idx="81">
                  <c:v>2.6446414595231578</c:v>
                </c:pt>
                <c:pt idx="82">
                  <c:v>2.611451911635287</c:v>
                </c:pt>
                <c:pt idx="83">
                  <c:v>2.5761757176011644</c:v>
                </c:pt>
                <c:pt idx="84">
                  <c:v>2.5387092204521786</c:v>
                </c:pt>
                <c:pt idx="85">
                  <c:v>2.4989449482837105</c:v>
                </c:pt>
                <c:pt idx="86">
                  <c:v>2.4567715217796628</c:v>
                </c:pt>
                <c:pt idx="87">
                  <c:v>2.412073560629505</c:v>
                </c:pt>
                <c:pt idx="88">
                  <c:v>2.364731588837826</c:v>
                </c:pt>
                <c:pt idx="89">
                  <c:v>2.3146219389263929</c:v>
                </c:pt>
                <c:pt idx="90">
                  <c:v>2.2616166550287273</c:v>
                </c:pt>
                <c:pt idx="91">
                  <c:v>2.2055833948771792</c:v>
                </c:pt>
                <c:pt idx="92">
                  <c:v>2.1463853306825227</c:v>
                </c:pt>
                <c:pt idx="93">
                  <c:v>2.0838810489060506</c:v>
                </c:pt>
                <c:pt idx="94">
                  <c:v>2.0179244489241874</c:v>
                </c:pt>
                <c:pt idx="95">
                  <c:v>1.9483646405856028</c:v>
                </c:pt>
                <c:pt idx="96">
                  <c:v>1.875045840660845</c:v>
                </c:pt>
                <c:pt idx="97">
                  <c:v>1.7978072681844681</c:v>
                </c:pt>
                <c:pt idx="98">
                  <c:v>1.7164830386896865</c:v>
                </c:pt>
                <c:pt idx="99">
                  <c:v>1.6309020573355302</c:v>
                </c:pt>
                <c:pt idx="100">
                  <c:v>1.5408879109265048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806952"/>
        <c:axId val="226807344"/>
      </c:scatterChart>
      <c:valAx>
        <c:axId val="22680695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26807344"/>
        <c:crosses val="autoZero"/>
        <c:crossBetween val="midCat"/>
      </c:valAx>
      <c:valAx>
        <c:axId val="22680734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050"/>
            </a:pPr>
            <a:endParaRPr lang="en-US"/>
          </a:p>
        </c:txPr>
        <c:crossAx val="22680695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 Pre-chilled Albert'!$A$2:$A$18</c:f>
              <c:numCache>
                <c:formatCode>0.00</c:formatCode>
                <c:ptCount val="17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0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16</c:v>
                </c:pt>
                <c:pt idx="9">
                  <c:v>18</c:v>
                </c:pt>
                <c:pt idx="10">
                  <c:v>0</c:v>
                </c:pt>
                <c:pt idx="11">
                  <c:v>10</c:v>
                </c:pt>
                <c:pt idx="12">
                  <c:v>12</c:v>
                </c:pt>
                <c:pt idx="13">
                  <c:v>14</c:v>
                </c:pt>
                <c:pt idx="14">
                  <c:v>16</c:v>
                </c:pt>
                <c:pt idx="15">
                  <c:v>18</c:v>
                </c:pt>
                <c:pt idx="16">
                  <c:v>20</c:v>
                </c:pt>
              </c:numCache>
            </c:numRef>
          </c:xVal>
          <c:yVal>
            <c:numRef>
              <c:f>'12628 Pre-chilled Albert'!$B$2:$B$18</c:f>
              <c:numCache>
                <c:formatCode>0.00</c:formatCode>
                <c:ptCount val="17"/>
                <c:pt idx="0">
                  <c:v>5.8633228601204559</c:v>
                </c:pt>
                <c:pt idx="1">
                  <c:v>4.9395192526186182</c:v>
                </c:pt>
                <c:pt idx="2">
                  <c:v>3.4771212547196626</c:v>
                </c:pt>
                <c:pt idx="3">
                  <c:v>2.5250448070368452</c:v>
                </c:pt>
                <c:pt idx="4">
                  <c:v>5.6989700043360187</c:v>
                </c:pt>
                <c:pt idx="5">
                  <c:v>4.6020599913279625</c:v>
                </c:pt>
                <c:pt idx="6">
                  <c:v>2.3617278360175926</c:v>
                </c:pt>
                <c:pt idx="7">
                  <c:v>1.9294189257142926</c:v>
                </c:pt>
                <c:pt idx="8">
                  <c:v>3</c:v>
                </c:pt>
                <c:pt idx="9">
                  <c:v>2.3324384599156054</c:v>
                </c:pt>
                <c:pt idx="10">
                  <c:v>5.7558748556724915</c:v>
                </c:pt>
                <c:pt idx="11">
                  <c:v>2.9684829485539352</c:v>
                </c:pt>
                <c:pt idx="12">
                  <c:v>2.6720978579357175</c:v>
                </c:pt>
                <c:pt idx="13">
                  <c:v>3.0606978403536118</c:v>
                </c:pt>
                <c:pt idx="14">
                  <c:v>2.6989700043360187</c:v>
                </c:pt>
                <c:pt idx="15">
                  <c:v>3.3010299956639813</c:v>
                </c:pt>
                <c:pt idx="16">
                  <c:v>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'12628 Pre-chilled Albert'!$A$22:$A$122</c:f>
              <c:numCache>
                <c:formatCode>0.00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</c:numCache>
            </c:numRef>
          </c:xVal>
          <c:yVal>
            <c:numRef>
              <c:f>'12628 Pre-chilled Albert'!$C$22:$C$122</c:f>
              <c:numCache>
                <c:formatCode>0.00</c:formatCode>
                <c:ptCount val="101"/>
                <c:pt idx="0">
                  <c:v>5.7727005746392619</c:v>
                </c:pt>
                <c:pt idx="1">
                  <c:v>5.7727005178860731</c:v>
                </c:pt>
                <c:pt idx="2">
                  <c:v>5.7726993865801264</c:v>
                </c:pt>
                <c:pt idx="3">
                  <c:v>5.7726935360685054</c:v>
                </c:pt>
                <c:pt idx="4">
                  <c:v>5.7726757040637189</c:v>
                </c:pt>
                <c:pt idx="5">
                  <c:v>5.7726343676515306</c:v>
                </c:pt>
                <c:pt idx="6">
                  <c:v>5.7725532307242347</c:v>
                </c:pt>
                <c:pt idx="7">
                  <c:v>5.7724107877865132</c:v>
                </c:pt>
                <c:pt idx="8">
                  <c:v>5.7721799395939231</c:v>
                </c:pt>
                <c:pt idx="9">
                  <c:v>5.7718276468882772</c:v>
                </c:pt>
                <c:pt idx="10">
                  <c:v>5.7713146136180695</c:v>
                </c:pt>
                <c:pt idx="11">
                  <c:v>5.7705949938310876</c:v>
                </c:pt>
                <c:pt idx="12">
                  <c:v>5.7696161181053149</c:v>
                </c:pt>
                <c:pt idx="13">
                  <c:v>5.7683182364619938</c:v>
                </c:pt>
                <c:pt idx="14">
                  <c:v>5.7666342754337565</c:v>
                </c:pt>
                <c:pt idx="15">
                  <c:v>5.7644896074752401</c:v>
                </c:pt>
                <c:pt idx="16">
                  <c:v>5.7618018312802048</c:v>
                </c:pt>
                <c:pt idx="17">
                  <c:v>5.7584805618541264</c:v>
                </c:pt>
                <c:pt idx="18">
                  <c:v>5.754427229414004</c:v>
                </c:pt>
                <c:pt idx="19">
                  <c:v>5.7495348863674778</c:v>
                </c:pt>
                <c:pt idx="20">
                  <c:v>5.7436880217753137</c:v>
                </c:pt>
                <c:pt idx="21">
                  <c:v>5.7367623828355239</c:v>
                </c:pt>
                <c:pt idx="22">
                  <c:v>5.7286248030527913</c:v>
                </c:pt>
                <c:pt idx="23">
                  <c:v>5.7191330368816562</c:v>
                </c:pt>
                <c:pt idx="24">
                  <c:v>5.7081356007647095</c:v>
                </c:pt>
                <c:pt idx="25">
                  <c:v>5.6954716206376146</c:v>
                </c:pt>
                <c:pt idx="26">
                  <c:v>5.6809706861536471</c:v>
                </c:pt>
                <c:pt idx="27">
                  <c:v>5.6644527121077717</c:v>
                </c:pt>
                <c:pt idx="28">
                  <c:v>5.6457278078368827</c:v>
                </c:pt>
                <c:pt idx="29">
                  <c:v>5.6245961557704911</c:v>
                </c:pt>
                <c:pt idx="30">
                  <c:v>5.6008479008510204</c:v>
                </c:pt>
                <c:pt idx="31">
                  <c:v>5.5742630533024435</c:v>
                </c:pt>
                <c:pt idx="32">
                  <c:v>5.5446114083000451</c:v>
                </c:pt>
                <c:pt idx="33">
                  <c:v>5.5116524876323032</c:v>
                </c:pt>
                <c:pt idx="34">
                  <c:v>5.4751355106745372</c:v>
                </c:pt>
                <c:pt idx="35">
                  <c:v>5.4347994052591915</c:v>
                </c:pt>
                <c:pt idx="36">
                  <c:v>5.3903728738641066</c:v>
                </c:pt>
                <c:pt idx="37">
                  <c:v>5.3415745377826127</c:v>
                </c:pt>
                <c:pt idx="38">
                  <c:v>5.2881131929044169</c:v>
                </c:pt>
                <c:pt idx="39">
                  <c:v>5.2296882275235141</c:v>
                </c:pt>
                <c:pt idx="40">
                  <c:v>5.1659902785806775</c:v>
                </c:pt>
                <c:pt idx="41">
                  <c:v>5.0967022434484619</c:v>
                </c:pt>
                <c:pt idx="42">
                  <c:v>5.0215008288242036</c:v>
                </c:pt>
                <c:pt idx="43">
                  <c:v>4.9400589215151784</c:v>
                </c:pt>
                <c:pt idx="44">
                  <c:v>4.8520492329430533</c:v>
                </c:pt>
                <c:pt idx="45">
                  <c:v>4.7571499421254551</c:v>
                </c:pt>
                <c:pt idx="46">
                  <c:v>4.6550535113335494</c:v>
                </c:pt>
                <c:pt idx="47">
                  <c:v>4.545480592315859</c:v>
                </c:pt>
                <c:pt idx="48">
                  <c:v>4.4282021712638313</c:v>
                </c:pt>
                <c:pt idx="49">
                  <c:v>4.3030751175626323</c:v>
                </c:pt>
                <c:pt idx="50">
                  <c:v>4.1700995255687001</c:v>
                </c:pt>
                <c:pt idx="51">
                  <c:v>4.0295111061589051</c:v>
                </c:pt>
                <c:pt idx="52">
                  <c:v>3.8819283135841673</c:v>
                </c:pt>
                <c:pt idx="53">
                  <c:v>3.7285795028756694</c:v>
                </c:pt>
                <c:pt idx="54">
                  <c:v>3.5716308141782953</c:v>
                </c:pt>
                <c:pt idx="55">
                  <c:v>3.4145951678720929</c:v>
                </c:pt>
                <c:pt idx="56">
                  <c:v>3.2626792996736684</c:v>
                </c:pt>
                <c:pt idx="57">
                  <c:v>3.1226915554289221</c:v>
                </c:pt>
                <c:pt idx="58">
                  <c:v>3.0019540032020791</c:v>
                </c:pt>
                <c:pt idx="59">
                  <c:v>2.9060679024710998</c:v>
                </c:pt>
                <c:pt idx="60">
                  <c:v>2.8366373102741647</c:v>
                </c:pt>
                <c:pt idx="61">
                  <c:v>2.7907980568404258</c:v>
                </c:pt>
                <c:pt idx="62">
                  <c:v>2.7629695177347822</c:v>
                </c:pt>
                <c:pt idx="63">
                  <c:v>2.7472469922542548</c:v>
                </c:pt>
                <c:pt idx="64">
                  <c:v>2.7388890637375995</c:v>
                </c:pt>
                <c:pt idx="65">
                  <c:v>2.7346759157474581</c:v>
                </c:pt>
                <c:pt idx="66">
                  <c:v>2.7326528359066757</c:v>
                </c:pt>
                <c:pt idx="67">
                  <c:v>2.7317255760084791</c:v>
                </c:pt>
                <c:pt idx="68">
                  <c:v>2.7313197408751724</c:v>
                </c:pt>
                <c:pt idx="69">
                  <c:v>2.7311502229452063</c:v>
                </c:pt>
                <c:pt idx="70">
                  <c:v>2.7310827199465386</c:v>
                </c:pt>
                <c:pt idx="71">
                  <c:v>2.7310571300472035</c:v>
                </c:pt>
                <c:pt idx="72">
                  <c:v>2.7310479090051274</c:v>
                </c:pt>
                <c:pt idx="73">
                  <c:v>2.7310447558468476</c:v>
                </c:pt>
                <c:pt idx="74">
                  <c:v>2.7310437343690084</c:v>
                </c:pt>
                <c:pt idx="75">
                  <c:v>2.7310434214200203</c:v>
                </c:pt>
                <c:pt idx="76">
                  <c:v>2.7310433309078048</c:v>
                </c:pt>
                <c:pt idx="77">
                  <c:v>2.7310433062393393</c:v>
                </c:pt>
                <c:pt idx="78">
                  <c:v>2.731043299915576</c:v>
                </c:pt>
                <c:pt idx="79">
                  <c:v>2.7310432983936632</c:v>
                </c:pt>
                <c:pt idx="80">
                  <c:v>2.7310432980504591</c:v>
                </c:pt>
                <c:pt idx="81">
                  <c:v>2.7310432979780797</c:v>
                </c:pt>
                <c:pt idx="82">
                  <c:v>2.7310432979638328</c:v>
                </c:pt>
                <c:pt idx="83">
                  <c:v>2.7310432979612207</c:v>
                </c:pt>
                <c:pt idx="84">
                  <c:v>2.7310432979607757</c:v>
                </c:pt>
                <c:pt idx="85">
                  <c:v>2.7310432979607056</c:v>
                </c:pt>
                <c:pt idx="86">
                  <c:v>2.7310432979606949</c:v>
                </c:pt>
                <c:pt idx="87">
                  <c:v>2.7310432979606936</c:v>
                </c:pt>
                <c:pt idx="88">
                  <c:v>2.7310432979606936</c:v>
                </c:pt>
                <c:pt idx="89">
                  <c:v>2.7310432979606936</c:v>
                </c:pt>
                <c:pt idx="90">
                  <c:v>2.7310432979606936</c:v>
                </c:pt>
                <c:pt idx="91">
                  <c:v>2.7310432979606936</c:v>
                </c:pt>
                <c:pt idx="92">
                  <c:v>2.7310432979606936</c:v>
                </c:pt>
                <c:pt idx="93">
                  <c:v>2.7310432979606936</c:v>
                </c:pt>
                <c:pt idx="94">
                  <c:v>2.7310432979606936</c:v>
                </c:pt>
                <c:pt idx="95">
                  <c:v>2.7310432979606936</c:v>
                </c:pt>
                <c:pt idx="96">
                  <c:v>2.7310432979606936</c:v>
                </c:pt>
                <c:pt idx="97">
                  <c:v>2.7310432979606936</c:v>
                </c:pt>
                <c:pt idx="98">
                  <c:v>2.7310432979606936</c:v>
                </c:pt>
                <c:pt idx="99">
                  <c:v>2.7310432979606936</c:v>
                </c:pt>
                <c:pt idx="100">
                  <c:v>2.7310432979606936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808128"/>
        <c:axId val="226808520"/>
      </c:scatterChart>
      <c:valAx>
        <c:axId val="22680812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6808520"/>
        <c:crosses val="autoZero"/>
        <c:crossBetween val="midCat"/>
      </c:valAx>
      <c:valAx>
        <c:axId val="22680852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2680812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 Un-chilled Albert'!$A$2:$A$20</c:f>
              <c:numCache>
                <c:formatCode>0.00</c:formatCode>
                <c:ptCount val="19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0</c:v>
                </c:pt>
                <c:pt idx="5">
                  <c:v>10</c:v>
                </c:pt>
                <c:pt idx="6">
                  <c:v>12</c:v>
                </c:pt>
                <c:pt idx="7">
                  <c:v>14</c:v>
                </c:pt>
                <c:pt idx="8">
                  <c:v>18</c:v>
                </c:pt>
                <c:pt idx="9">
                  <c:v>20</c:v>
                </c:pt>
                <c:pt idx="10">
                  <c:v>22</c:v>
                </c:pt>
                <c:pt idx="11">
                  <c:v>0</c:v>
                </c:pt>
                <c:pt idx="12">
                  <c:v>10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18</c:v>
                </c:pt>
                <c:pt idx="17">
                  <c:v>20</c:v>
                </c:pt>
                <c:pt idx="18">
                  <c:v>22</c:v>
                </c:pt>
              </c:numCache>
            </c:numRef>
          </c:xVal>
          <c:yVal>
            <c:numRef>
              <c:f>'12662 Un-chilled Albert'!$B$2:$B$20</c:f>
              <c:numCache>
                <c:formatCode>0.00</c:formatCode>
                <c:ptCount val="19"/>
                <c:pt idx="0">
                  <c:v>5.5185139398778871</c:v>
                </c:pt>
                <c:pt idx="1">
                  <c:v>4.9395192526186182</c:v>
                </c:pt>
                <c:pt idx="2">
                  <c:v>3.9030899869919438</c:v>
                </c:pt>
                <c:pt idx="3">
                  <c:v>2.7781512503836434</c:v>
                </c:pt>
                <c:pt idx="4">
                  <c:v>5.7558748556724915</c:v>
                </c:pt>
                <c:pt idx="5">
                  <c:v>5.0681858617461613</c:v>
                </c:pt>
                <c:pt idx="6">
                  <c:v>3.9190780923760737</c:v>
                </c:pt>
                <c:pt idx="7">
                  <c:v>2.3979400086720375</c:v>
                </c:pt>
                <c:pt idx="8">
                  <c:v>1.1760912590556813</c:v>
                </c:pt>
                <c:pt idx="9">
                  <c:v>1.8750612633917001</c:v>
                </c:pt>
                <c:pt idx="10">
                  <c:v>2.3324384599156054</c:v>
                </c:pt>
                <c:pt idx="11">
                  <c:v>5.568201724066995</c:v>
                </c:pt>
                <c:pt idx="12">
                  <c:v>3.7242758696007892</c:v>
                </c:pt>
                <c:pt idx="13">
                  <c:v>3.6334684555795866</c:v>
                </c:pt>
                <c:pt idx="14">
                  <c:v>3</c:v>
                </c:pt>
                <c:pt idx="15">
                  <c:v>3.0606978403536118</c:v>
                </c:pt>
                <c:pt idx="16">
                  <c:v>2.6020599913279625</c:v>
                </c:pt>
                <c:pt idx="17">
                  <c:v>2.7520484478194387</c:v>
                </c:pt>
                <c:pt idx="18">
                  <c:v>2.1760912590556813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'12662 Un-chilled Albert'!$A$24:$A$124</c:f>
              <c:numCache>
                <c:formatCode>0.00</c:formatCode>
                <c:ptCount val="101"/>
                <c:pt idx="0">
                  <c:v>0</c:v>
                </c:pt>
                <c:pt idx="1">
                  <c:v>0.22</c:v>
                </c:pt>
                <c:pt idx="2">
                  <c:v>0.44</c:v>
                </c:pt>
                <c:pt idx="3">
                  <c:v>0.66</c:v>
                </c:pt>
                <c:pt idx="4">
                  <c:v>0.88</c:v>
                </c:pt>
                <c:pt idx="5">
                  <c:v>1.1000000000000001</c:v>
                </c:pt>
                <c:pt idx="6">
                  <c:v>1.32</c:v>
                </c:pt>
                <c:pt idx="7">
                  <c:v>1.54</c:v>
                </c:pt>
                <c:pt idx="8">
                  <c:v>1.76</c:v>
                </c:pt>
                <c:pt idx="9">
                  <c:v>1.98</c:v>
                </c:pt>
                <c:pt idx="10">
                  <c:v>2.2000000000000002</c:v>
                </c:pt>
                <c:pt idx="11">
                  <c:v>2.4200000000000004</c:v>
                </c:pt>
                <c:pt idx="12">
                  <c:v>2.6400000000000006</c:v>
                </c:pt>
                <c:pt idx="13">
                  <c:v>2.8600000000000008</c:v>
                </c:pt>
                <c:pt idx="14">
                  <c:v>3.080000000000001</c:v>
                </c:pt>
                <c:pt idx="15">
                  <c:v>3.3000000000000012</c:v>
                </c:pt>
                <c:pt idx="16">
                  <c:v>3.5200000000000014</c:v>
                </c:pt>
                <c:pt idx="17">
                  <c:v>3.7400000000000015</c:v>
                </c:pt>
                <c:pt idx="18">
                  <c:v>3.9600000000000017</c:v>
                </c:pt>
                <c:pt idx="19">
                  <c:v>4.1800000000000015</c:v>
                </c:pt>
                <c:pt idx="20">
                  <c:v>4.4000000000000012</c:v>
                </c:pt>
                <c:pt idx="21">
                  <c:v>4.620000000000001</c:v>
                </c:pt>
                <c:pt idx="22">
                  <c:v>4.8400000000000007</c:v>
                </c:pt>
                <c:pt idx="23">
                  <c:v>5.0600000000000005</c:v>
                </c:pt>
                <c:pt idx="24">
                  <c:v>5.28</c:v>
                </c:pt>
                <c:pt idx="25">
                  <c:v>5.5</c:v>
                </c:pt>
                <c:pt idx="26">
                  <c:v>5.72</c:v>
                </c:pt>
                <c:pt idx="27">
                  <c:v>5.9399999999999995</c:v>
                </c:pt>
                <c:pt idx="28">
                  <c:v>6.1599999999999993</c:v>
                </c:pt>
                <c:pt idx="29">
                  <c:v>6.379999999999999</c:v>
                </c:pt>
                <c:pt idx="30">
                  <c:v>6.5999999999999988</c:v>
                </c:pt>
                <c:pt idx="31">
                  <c:v>6.8199999999999985</c:v>
                </c:pt>
                <c:pt idx="32">
                  <c:v>7.0399999999999983</c:v>
                </c:pt>
                <c:pt idx="33">
                  <c:v>7.259999999999998</c:v>
                </c:pt>
                <c:pt idx="34">
                  <c:v>7.4799999999999978</c:v>
                </c:pt>
                <c:pt idx="35">
                  <c:v>7.6999999999999975</c:v>
                </c:pt>
                <c:pt idx="36">
                  <c:v>7.9199999999999973</c:v>
                </c:pt>
                <c:pt idx="37">
                  <c:v>8.139999999999997</c:v>
                </c:pt>
                <c:pt idx="38">
                  <c:v>8.3599999999999977</c:v>
                </c:pt>
                <c:pt idx="39">
                  <c:v>8.5799999999999983</c:v>
                </c:pt>
                <c:pt idx="40">
                  <c:v>8.7999999999999989</c:v>
                </c:pt>
                <c:pt idx="41">
                  <c:v>9.02</c:v>
                </c:pt>
                <c:pt idx="42">
                  <c:v>9.24</c:v>
                </c:pt>
                <c:pt idx="43">
                  <c:v>9.4600000000000009</c:v>
                </c:pt>
                <c:pt idx="44">
                  <c:v>9.6800000000000015</c:v>
                </c:pt>
                <c:pt idx="45">
                  <c:v>9.9000000000000021</c:v>
                </c:pt>
                <c:pt idx="46">
                  <c:v>10.120000000000003</c:v>
                </c:pt>
                <c:pt idx="47">
                  <c:v>10.340000000000003</c:v>
                </c:pt>
                <c:pt idx="48">
                  <c:v>10.560000000000004</c:v>
                </c:pt>
                <c:pt idx="49">
                  <c:v>10.780000000000005</c:v>
                </c:pt>
                <c:pt idx="50">
                  <c:v>11.000000000000005</c:v>
                </c:pt>
                <c:pt idx="51">
                  <c:v>11.220000000000006</c:v>
                </c:pt>
                <c:pt idx="52">
                  <c:v>11.440000000000007</c:v>
                </c:pt>
                <c:pt idx="53">
                  <c:v>11.660000000000007</c:v>
                </c:pt>
                <c:pt idx="54">
                  <c:v>11.880000000000008</c:v>
                </c:pt>
                <c:pt idx="55">
                  <c:v>12.100000000000009</c:v>
                </c:pt>
                <c:pt idx="56">
                  <c:v>12.320000000000009</c:v>
                </c:pt>
                <c:pt idx="57">
                  <c:v>12.54000000000001</c:v>
                </c:pt>
                <c:pt idx="58">
                  <c:v>12.76000000000001</c:v>
                </c:pt>
                <c:pt idx="59">
                  <c:v>12.980000000000011</c:v>
                </c:pt>
                <c:pt idx="60">
                  <c:v>13.200000000000012</c:v>
                </c:pt>
                <c:pt idx="61">
                  <c:v>13.420000000000012</c:v>
                </c:pt>
                <c:pt idx="62">
                  <c:v>13.640000000000013</c:v>
                </c:pt>
                <c:pt idx="63">
                  <c:v>13.860000000000014</c:v>
                </c:pt>
                <c:pt idx="64">
                  <c:v>14.080000000000014</c:v>
                </c:pt>
                <c:pt idx="65">
                  <c:v>14.300000000000015</c:v>
                </c:pt>
                <c:pt idx="66">
                  <c:v>14.520000000000016</c:v>
                </c:pt>
                <c:pt idx="67">
                  <c:v>14.740000000000016</c:v>
                </c:pt>
                <c:pt idx="68">
                  <c:v>14.960000000000017</c:v>
                </c:pt>
                <c:pt idx="69">
                  <c:v>15.180000000000017</c:v>
                </c:pt>
                <c:pt idx="70">
                  <c:v>15.400000000000018</c:v>
                </c:pt>
                <c:pt idx="71">
                  <c:v>15.620000000000019</c:v>
                </c:pt>
                <c:pt idx="72">
                  <c:v>15.840000000000019</c:v>
                </c:pt>
                <c:pt idx="73">
                  <c:v>16.06000000000002</c:v>
                </c:pt>
                <c:pt idx="74">
                  <c:v>16.280000000000019</c:v>
                </c:pt>
                <c:pt idx="75">
                  <c:v>16.500000000000018</c:v>
                </c:pt>
                <c:pt idx="76">
                  <c:v>16.720000000000017</c:v>
                </c:pt>
                <c:pt idx="77">
                  <c:v>16.940000000000015</c:v>
                </c:pt>
                <c:pt idx="78">
                  <c:v>17.160000000000014</c:v>
                </c:pt>
                <c:pt idx="79">
                  <c:v>17.380000000000013</c:v>
                </c:pt>
                <c:pt idx="80">
                  <c:v>17.600000000000012</c:v>
                </c:pt>
                <c:pt idx="81">
                  <c:v>17.820000000000011</c:v>
                </c:pt>
                <c:pt idx="82">
                  <c:v>18.04000000000001</c:v>
                </c:pt>
                <c:pt idx="83">
                  <c:v>18.260000000000009</c:v>
                </c:pt>
                <c:pt idx="84">
                  <c:v>18.480000000000008</c:v>
                </c:pt>
                <c:pt idx="85">
                  <c:v>18.700000000000006</c:v>
                </c:pt>
                <c:pt idx="86">
                  <c:v>18.920000000000005</c:v>
                </c:pt>
                <c:pt idx="87">
                  <c:v>19.140000000000004</c:v>
                </c:pt>
                <c:pt idx="88">
                  <c:v>19.360000000000003</c:v>
                </c:pt>
                <c:pt idx="89">
                  <c:v>19.580000000000002</c:v>
                </c:pt>
                <c:pt idx="90">
                  <c:v>19.8</c:v>
                </c:pt>
                <c:pt idx="91">
                  <c:v>20.02</c:v>
                </c:pt>
                <c:pt idx="92">
                  <c:v>20.239999999999998</c:v>
                </c:pt>
                <c:pt idx="93">
                  <c:v>20.459999999999997</c:v>
                </c:pt>
                <c:pt idx="94">
                  <c:v>20.679999999999996</c:v>
                </c:pt>
                <c:pt idx="95">
                  <c:v>20.899999999999995</c:v>
                </c:pt>
                <c:pt idx="96">
                  <c:v>21.119999999999994</c:v>
                </c:pt>
                <c:pt idx="97">
                  <c:v>21.339999999999993</c:v>
                </c:pt>
                <c:pt idx="98">
                  <c:v>21.559999999999992</c:v>
                </c:pt>
                <c:pt idx="99">
                  <c:v>21.77999999999999</c:v>
                </c:pt>
                <c:pt idx="100">
                  <c:v>21.999999999999989</c:v>
                </c:pt>
              </c:numCache>
            </c:numRef>
          </c:xVal>
          <c:yVal>
            <c:numRef>
              <c:f>'12662 Un-chilled Albert'!$C$24:$C$124</c:f>
              <c:numCache>
                <c:formatCode>0.00</c:formatCode>
                <c:ptCount val="101"/>
                <c:pt idx="0">
                  <c:v>5.6191372755808215</c:v>
                </c:pt>
                <c:pt idx="1">
                  <c:v>5.6191301591620411</c:v>
                </c:pt>
                <c:pt idx="2">
                  <c:v>5.6190755283926928</c:v>
                </c:pt>
                <c:pt idx="3">
                  <c:v>5.6189187410612105</c:v>
                </c:pt>
                <c:pt idx="4">
                  <c:v>5.6186015125028712</c:v>
                </c:pt>
                <c:pt idx="5">
                  <c:v>5.6180631483543939</c:v>
                </c:pt>
                <c:pt idx="6">
                  <c:v>5.6172411138491603</c:v>
                </c:pt>
                <c:pt idx="7">
                  <c:v>5.6160713732561147</c:v>
                </c:pt>
                <c:pt idx="8">
                  <c:v>5.614488617857079</c:v>
                </c:pt>
                <c:pt idx="9">
                  <c:v>5.6124264306174831</c:v>
                </c:pt>
                <c:pt idx="10">
                  <c:v>5.609817411205575</c:v>
                </c:pt>
                <c:pt idx="11">
                  <c:v>5.6065932744414768</c:v>
                </c:pt>
                <c:pt idx="12">
                  <c:v>5.6026849300360935</c:v>
                </c:pt>
                <c:pt idx="13">
                  <c:v>5.5980225486451634</c:v>
                </c:pt>
                <c:pt idx="14">
                  <c:v>5.5925356176116194</c:v>
                </c:pt>
                <c:pt idx="15">
                  <c:v>5.5861529887520982</c:v>
                </c:pt>
                <c:pt idx="16">
                  <c:v>5.5788029198890587</c:v>
                </c:pt>
                <c:pt idx="17">
                  <c:v>5.5704131113941129</c:v>
                </c:pt>
                <c:pt idx="18">
                  <c:v>5.5609107387098469</c:v>
                </c:pt>
                <c:pt idx="19">
                  <c:v>5.5502224816091434</c:v>
                </c:pt>
                <c:pt idx="20">
                  <c:v>5.5382745508037994</c:v>
                </c:pt>
                <c:pt idx="21">
                  <c:v>5.524992712410242</c:v>
                </c:pt>
                <c:pt idx="22">
                  <c:v>5.5103023107077922</c:v>
                </c:pt>
                <c:pt idx="23">
                  <c:v>5.4941282895771906</c:v>
                </c:pt>
                <c:pt idx="24">
                  <c:v>5.4763952129794937</c:v>
                </c:pt>
                <c:pt idx="25">
                  <c:v>5.4570272848257906</c:v>
                </c:pt>
                <c:pt idx="26">
                  <c:v>5.435948368595672</c:v>
                </c:pt>
                <c:pt idx="27">
                  <c:v>5.4130820070878407</c:v>
                </c:pt>
                <c:pt idx="28">
                  <c:v>5.3883514427317492</c:v>
                </c:pt>
                <c:pt idx="29">
                  <c:v>5.3616796389585737</c:v>
                </c:pt>
                <c:pt idx="30">
                  <c:v>5.3329893032287332</c:v>
                </c:pt>
                <c:pt idx="31">
                  <c:v>5.3022029124497863</c:v>
                </c:pt>
                <c:pt idx="32">
                  <c:v>5.2692427417042413</c:v>
                </c:pt>
                <c:pt idx="33">
                  <c:v>5.2340308974574423</c:v>
                </c:pt>
                <c:pt idx="34">
                  <c:v>5.1964893567529415</c:v>
                </c:pt>
                <c:pt idx="35">
                  <c:v>5.156540014356966</c:v>
                </c:pt>
                <c:pt idx="36">
                  <c:v>5.1141047404261828</c:v>
                </c:pt>
                <c:pt idx="37">
                  <c:v>5.0691054521021073</c:v>
                </c:pt>
                <c:pt idx="38">
                  <c:v>5.0214642035616883</c:v>
                </c:pt>
                <c:pt idx="39">
                  <c:v>4.9711033005898662</c:v>
                </c:pt>
                <c:pt idx="40">
                  <c:v>4.9179454478447342</c:v>
                </c:pt>
                <c:pt idx="41">
                  <c:v>4.8619139398830686</c:v>
                </c:pt>
                <c:pt idx="42">
                  <c:v>4.8029329110196528</c:v>
                </c:pt>
                <c:pt idx="43">
                  <c:v>4.7409276646572742</c:v>
                </c:pt>
                <c:pt idx="44">
                  <c:v>4.6758251104842579</c:v>
                </c:pt>
                <c:pt idx="45">
                  <c:v>4.6075543488032604</c:v>
                </c:pt>
                <c:pt idx="46">
                  <c:v>4.5360474565256457</c:v>
                </c:pt>
                <c:pt idx="47">
                  <c:v>4.4612405508845807</c:v>
                </c:pt>
                <c:pt idx="48">
                  <c:v>4.3830752372974864</c:v>
                </c:pt>
                <c:pt idx="49">
                  <c:v>4.3015005907065795</c:v>
                </c:pt>
                <c:pt idx="50">
                  <c:v>4.2164758802019069</c:v>
                </c:pt>
                <c:pt idx="51">
                  <c:v>4.1279743315849622</c:v>
                </c:pt>
                <c:pt idx="52">
                  <c:v>4.03598834049507</c:v>
                </c:pt>
                <c:pt idx="53">
                  <c:v>3.9405367100723123</c:v>
                </c:pt>
                <c:pt idx="54">
                  <c:v>3.8416747017892603</c:v>
                </c:pt>
                <c:pt idx="55">
                  <c:v>3.7395079602020269</c:v>
                </c:pt>
                <c:pt idx="56">
                  <c:v>3.6342116874861579</c:v>
                </c:pt>
                <c:pt idx="57">
                  <c:v>3.5260567412265997</c:v>
                </c:pt>
                <c:pt idx="58">
                  <c:v>3.4154444492138754</c:v>
                </c:pt>
                <c:pt idx="59">
                  <c:v>3.3029515269941938</c:v>
                </c:pt>
                <c:pt idx="60">
                  <c:v>3.1893848761974812</c:v>
                </c:pt>
                <c:pt idx="61">
                  <c:v>3.075842139997393</c:v>
                </c:pt>
                <c:pt idx="62">
                  <c:v>2.9637663429384529</c:v>
                </c:pt>
                <c:pt idx="63">
                  <c:v>2.8549711196854686</c:v>
                </c:pt>
                <c:pt idx="64">
                  <c:v>2.7515995999973888</c:v>
                </c:pt>
                <c:pt idx="65">
                  <c:v>2.6559747060674255</c:v>
                </c:pt>
                <c:pt idx="66">
                  <c:v>2.570318822056584</c:v>
                </c:pt>
                <c:pt idx="67">
                  <c:v>2.4963793004873622</c:v>
                </c:pt>
                <c:pt idx="68">
                  <c:v>2.4350742923684643</c:v>
                </c:pt>
                <c:pt idx="69">
                  <c:v>2.3863093498412469</c:v>
                </c:pt>
                <c:pt idx="70">
                  <c:v>2.3490540124341068</c:v>
                </c:pt>
                <c:pt idx="71">
                  <c:v>2.3216375082940544</c:v>
                </c:pt>
                <c:pt idx="72">
                  <c:v>2.3021251878104114</c:v>
                </c:pt>
                <c:pt idx="73">
                  <c:v>2.2886382414386928</c:v>
                </c:pt>
                <c:pt idx="74">
                  <c:v>2.2795494791399871</c:v>
                </c:pt>
                <c:pt idx="75">
                  <c:v>2.2735589028079457</c:v>
                </c:pt>
                <c:pt idx="76">
                  <c:v>2.2696875282628768</c:v>
                </c:pt>
                <c:pt idx="77">
                  <c:v>2.2672302435286946</c:v>
                </c:pt>
                <c:pt idx="78">
                  <c:v>2.2656964910897606</c:v>
                </c:pt>
                <c:pt idx="79">
                  <c:v>2.2647543996369692</c:v>
                </c:pt>
                <c:pt idx="80">
                  <c:v>2.2641846798324248</c:v>
                </c:pt>
                <c:pt idx="81">
                  <c:v>2.2638454006978517</c:v>
                </c:pt>
                <c:pt idx="82">
                  <c:v>2.2636464191396644</c:v>
                </c:pt>
                <c:pt idx="83">
                  <c:v>2.2635314933516821</c:v>
                </c:pt>
                <c:pt idx="84">
                  <c:v>2.263466130316806</c:v>
                </c:pt>
                <c:pt idx="85">
                  <c:v>2.2634295287151622</c:v>
                </c:pt>
                <c:pt idx="86">
                  <c:v>2.2634093518854401</c:v>
                </c:pt>
                <c:pt idx="87">
                  <c:v>2.2633984043719133</c:v>
                </c:pt>
                <c:pt idx="88">
                  <c:v>2.2633925590529422</c:v>
                </c:pt>
                <c:pt idx="89">
                  <c:v>2.2633894882715939</c:v>
                </c:pt>
                <c:pt idx="90">
                  <c:v>2.2633879013564937</c:v>
                </c:pt>
                <c:pt idx="91">
                  <c:v>2.2633870947944885</c:v>
                </c:pt>
                <c:pt idx="92">
                  <c:v>2.2633866916918972</c:v>
                </c:pt>
                <c:pt idx="93">
                  <c:v>2.2633864936298655</c:v>
                </c:pt>
                <c:pt idx="94">
                  <c:v>2.2633863979747053</c:v>
                </c:pt>
                <c:pt idx="95">
                  <c:v>2.2633863525752571</c:v>
                </c:pt>
                <c:pt idx="96">
                  <c:v>2.2633863314042761</c:v>
                </c:pt>
                <c:pt idx="97">
                  <c:v>2.2633863217060415</c:v>
                </c:pt>
                <c:pt idx="98">
                  <c:v>2.2633863173427065</c:v>
                </c:pt>
                <c:pt idx="99">
                  <c:v>2.2633863154150426</c:v>
                </c:pt>
                <c:pt idx="100">
                  <c:v>2.2633863145789714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6809304"/>
        <c:axId val="226809696"/>
      </c:scatterChart>
      <c:valAx>
        <c:axId val="2268093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26809696"/>
        <c:crosses val="autoZero"/>
        <c:crossBetween val="midCat"/>
      </c:valAx>
      <c:valAx>
        <c:axId val="2268096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</a:t>
                </a:r>
                <a:r>
                  <a:rPr lang="en-GB" b="0" baseline="0"/>
                  <a:t> CFU/ml-1</a:t>
                </a:r>
                <a:endParaRPr lang="en-GB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268093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'12662PC_Weibull'!$A$2:$A$24</c:f>
              <c:numCache>
                <c:formatCode>0.00</c:formatCode>
                <c:ptCount val="23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0</c:v>
                </c:pt>
                <c:pt idx="8">
                  <c:v>10</c:v>
                </c:pt>
                <c:pt idx="9">
                  <c:v>12</c:v>
                </c:pt>
                <c:pt idx="10">
                  <c:v>14</c:v>
                </c:pt>
                <c:pt idx="11">
                  <c:v>16</c:v>
                </c:pt>
                <c:pt idx="12">
                  <c:v>18</c:v>
                </c:pt>
                <c:pt idx="13">
                  <c:v>20</c:v>
                </c:pt>
                <c:pt idx="14">
                  <c:v>22</c:v>
                </c:pt>
                <c:pt idx="15">
                  <c:v>0</c:v>
                </c:pt>
                <c:pt idx="16">
                  <c:v>10</c:v>
                </c:pt>
                <c:pt idx="17">
                  <c:v>12</c:v>
                </c:pt>
                <c:pt idx="18">
                  <c:v>14</c:v>
                </c:pt>
                <c:pt idx="19">
                  <c:v>16</c:v>
                </c:pt>
                <c:pt idx="20">
                  <c:v>18</c:v>
                </c:pt>
                <c:pt idx="21">
                  <c:v>20</c:v>
                </c:pt>
                <c:pt idx="22">
                  <c:v>22</c:v>
                </c:pt>
              </c:numCache>
            </c:numRef>
          </c:xVal>
          <c:yVal>
            <c:numRef>
              <c:f>'12662PC_Weibull'!$B$2:$B$24</c:f>
              <c:numCache>
                <c:formatCode>0.00</c:formatCode>
                <c:ptCount val="23"/>
                <c:pt idx="0">
                  <c:v>5.6989700043360187</c:v>
                </c:pt>
                <c:pt idx="1">
                  <c:v>4.0791812460476251</c:v>
                </c:pt>
                <c:pt idx="2">
                  <c:v>2.1139433523068369</c:v>
                </c:pt>
                <c:pt idx="3">
                  <c:v>2.3324384599156054</c:v>
                </c:pt>
                <c:pt idx="4">
                  <c:v>3.7283537820212285</c:v>
                </c:pt>
                <c:pt idx="5">
                  <c:v>3.6384892569546374</c:v>
                </c:pt>
                <c:pt idx="6">
                  <c:v>2.6989700043360187</c:v>
                </c:pt>
                <c:pt idx="7">
                  <c:v>6.0530784434834199</c:v>
                </c:pt>
                <c:pt idx="8">
                  <c:v>4.6989700043360187</c:v>
                </c:pt>
                <c:pt idx="9">
                  <c:v>2.8260748027008264</c:v>
                </c:pt>
                <c:pt idx="10">
                  <c:v>3.3010299956639813</c:v>
                </c:pt>
                <c:pt idx="11">
                  <c:v>2.7403626894942437</c:v>
                </c:pt>
                <c:pt idx="12">
                  <c:v>3.7118072290411912</c:v>
                </c:pt>
                <c:pt idx="13">
                  <c:v>2.2671717284030137</c:v>
                </c:pt>
                <c:pt idx="14">
                  <c:v>2.6020599913279625</c:v>
                </c:pt>
                <c:pt idx="15">
                  <c:v>5.8450980400142569</c:v>
                </c:pt>
                <c:pt idx="16">
                  <c:v>4.1760912590556813</c:v>
                </c:pt>
                <c:pt idx="17">
                  <c:v>3.5185139398778875</c:v>
                </c:pt>
                <c:pt idx="18">
                  <c:v>2.9294189257142929</c:v>
                </c:pt>
                <c:pt idx="19">
                  <c:v>2.6857417386022635</c:v>
                </c:pt>
                <c:pt idx="20">
                  <c:v>2.5854607295085006</c:v>
                </c:pt>
                <c:pt idx="21">
                  <c:v>2.1303337684950061</c:v>
                </c:pt>
                <c:pt idx="22">
                  <c:v>1.5440680443502757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'12662PC_Weibull'!$A$28:$A$128</c:f>
              <c:numCache>
                <c:formatCode>0.00</c:formatCode>
                <c:ptCount val="101"/>
                <c:pt idx="0">
                  <c:v>0</c:v>
                </c:pt>
                <c:pt idx="1">
                  <c:v>0.22</c:v>
                </c:pt>
                <c:pt idx="2">
                  <c:v>0.44</c:v>
                </c:pt>
                <c:pt idx="3">
                  <c:v>0.66</c:v>
                </c:pt>
                <c:pt idx="4">
                  <c:v>0.88</c:v>
                </c:pt>
                <c:pt idx="5">
                  <c:v>1.1000000000000001</c:v>
                </c:pt>
                <c:pt idx="6">
                  <c:v>1.32</c:v>
                </c:pt>
                <c:pt idx="7">
                  <c:v>1.54</c:v>
                </c:pt>
                <c:pt idx="8">
                  <c:v>1.76</c:v>
                </c:pt>
                <c:pt idx="9">
                  <c:v>1.98</c:v>
                </c:pt>
                <c:pt idx="10">
                  <c:v>2.2000000000000002</c:v>
                </c:pt>
                <c:pt idx="11">
                  <c:v>2.4200000000000004</c:v>
                </c:pt>
                <c:pt idx="12">
                  <c:v>2.6400000000000006</c:v>
                </c:pt>
                <c:pt idx="13">
                  <c:v>2.8600000000000008</c:v>
                </c:pt>
                <c:pt idx="14">
                  <c:v>3.080000000000001</c:v>
                </c:pt>
                <c:pt idx="15">
                  <c:v>3.3000000000000012</c:v>
                </c:pt>
                <c:pt idx="16">
                  <c:v>3.5200000000000014</c:v>
                </c:pt>
                <c:pt idx="17">
                  <c:v>3.7400000000000015</c:v>
                </c:pt>
                <c:pt idx="18">
                  <c:v>3.9600000000000017</c:v>
                </c:pt>
                <c:pt idx="19">
                  <c:v>4.1800000000000015</c:v>
                </c:pt>
                <c:pt idx="20">
                  <c:v>4.4000000000000012</c:v>
                </c:pt>
                <c:pt idx="21">
                  <c:v>4.620000000000001</c:v>
                </c:pt>
                <c:pt idx="22">
                  <c:v>4.8400000000000007</c:v>
                </c:pt>
                <c:pt idx="23">
                  <c:v>5.0600000000000005</c:v>
                </c:pt>
                <c:pt idx="24">
                  <c:v>5.28</c:v>
                </c:pt>
                <c:pt idx="25">
                  <c:v>5.5</c:v>
                </c:pt>
                <c:pt idx="26">
                  <c:v>5.72</c:v>
                </c:pt>
                <c:pt idx="27">
                  <c:v>5.9399999999999995</c:v>
                </c:pt>
                <c:pt idx="28">
                  <c:v>6.1599999999999993</c:v>
                </c:pt>
                <c:pt idx="29">
                  <c:v>6.379999999999999</c:v>
                </c:pt>
                <c:pt idx="30">
                  <c:v>6.5999999999999988</c:v>
                </c:pt>
                <c:pt idx="31">
                  <c:v>6.8199999999999985</c:v>
                </c:pt>
                <c:pt idx="32">
                  <c:v>7.0399999999999983</c:v>
                </c:pt>
                <c:pt idx="33">
                  <c:v>7.259999999999998</c:v>
                </c:pt>
                <c:pt idx="34">
                  <c:v>7.4799999999999978</c:v>
                </c:pt>
                <c:pt idx="35">
                  <c:v>7.6999999999999975</c:v>
                </c:pt>
                <c:pt idx="36">
                  <c:v>7.9199999999999973</c:v>
                </c:pt>
                <c:pt idx="37">
                  <c:v>8.139999999999997</c:v>
                </c:pt>
                <c:pt idx="38">
                  <c:v>8.3599999999999977</c:v>
                </c:pt>
                <c:pt idx="39">
                  <c:v>8.5799999999999983</c:v>
                </c:pt>
                <c:pt idx="40">
                  <c:v>8.7999999999999989</c:v>
                </c:pt>
                <c:pt idx="41">
                  <c:v>9.02</c:v>
                </c:pt>
                <c:pt idx="42">
                  <c:v>9.24</c:v>
                </c:pt>
                <c:pt idx="43">
                  <c:v>9.4600000000000009</c:v>
                </c:pt>
                <c:pt idx="44">
                  <c:v>9.6800000000000015</c:v>
                </c:pt>
                <c:pt idx="45">
                  <c:v>9.9000000000000021</c:v>
                </c:pt>
                <c:pt idx="46">
                  <c:v>10.120000000000003</c:v>
                </c:pt>
                <c:pt idx="47">
                  <c:v>10.340000000000003</c:v>
                </c:pt>
                <c:pt idx="48">
                  <c:v>10.560000000000004</c:v>
                </c:pt>
                <c:pt idx="49">
                  <c:v>10.780000000000005</c:v>
                </c:pt>
                <c:pt idx="50">
                  <c:v>11.000000000000005</c:v>
                </c:pt>
                <c:pt idx="51">
                  <c:v>11.220000000000006</c:v>
                </c:pt>
                <c:pt idx="52">
                  <c:v>11.440000000000007</c:v>
                </c:pt>
                <c:pt idx="53">
                  <c:v>11.660000000000007</c:v>
                </c:pt>
                <c:pt idx="54">
                  <c:v>11.880000000000008</c:v>
                </c:pt>
                <c:pt idx="55">
                  <c:v>12.100000000000009</c:v>
                </c:pt>
                <c:pt idx="56">
                  <c:v>12.320000000000009</c:v>
                </c:pt>
                <c:pt idx="57">
                  <c:v>12.54000000000001</c:v>
                </c:pt>
                <c:pt idx="58">
                  <c:v>12.76000000000001</c:v>
                </c:pt>
                <c:pt idx="59">
                  <c:v>12.980000000000011</c:v>
                </c:pt>
                <c:pt idx="60">
                  <c:v>13.200000000000012</c:v>
                </c:pt>
                <c:pt idx="61">
                  <c:v>13.420000000000012</c:v>
                </c:pt>
                <c:pt idx="62">
                  <c:v>13.640000000000013</c:v>
                </c:pt>
                <c:pt idx="63">
                  <c:v>13.860000000000014</c:v>
                </c:pt>
                <c:pt idx="64">
                  <c:v>14.080000000000014</c:v>
                </c:pt>
                <c:pt idx="65">
                  <c:v>14.300000000000015</c:v>
                </c:pt>
                <c:pt idx="66">
                  <c:v>14.520000000000016</c:v>
                </c:pt>
                <c:pt idx="67">
                  <c:v>14.740000000000016</c:v>
                </c:pt>
                <c:pt idx="68">
                  <c:v>14.960000000000017</c:v>
                </c:pt>
                <c:pt idx="69">
                  <c:v>15.180000000000017</c:v>
                </c:pt>
                <c:pt idx="70">
                  <c:v>15.400000000000018</c:v>
                </c:pt>
                <c:pt idx="71">
                  <c:v>15.620000000000019</c:v>
                </c:pt>
                <c:pt idx="72">
                  <c:v>15.840000000000019</c:v>
                </c:pt>
                <c:pt idx="73">
                  <c:v>16.06000000000002</c:v>
                </c:pt>
                <c:pt idx="74">
                  <c:v>16.280000000000019</c:v>
                </c:pt>
                <c:pt idx="75">
                  <c:v>16.500000000000018</c:v>
                </c:pt>
                <c:pt idx="76">
                  <c:v>16.720000000000017</c:v>
                </c:pt>
                <c:pt idx="77">
                  <c:v>16.940000000000015</c:v>
                </c:pt>
                <c:pt idx="78">
                  <c:v>17.160000000000014</c:v>
                </c:pt>
                <c:pt idx="79">
                  <c:v>17.380000000000013</c:v>
                </c:pt>
                <c:pt idx="80">
                  <c:v>17.600000000000012</c:v>
                </c:pt>
                <c:pt idx="81">
                  <c:v>17.820000000000011</c:v>
                </c:pt>
                <c:pt idx="82">
                  <c:v>18.04000000000001</c:v>
                </c:pt>
                <c:pt idx="83">
                  <c:v>18.260000000000009</c:v>
                </c:pt>
                <c:pt idx="84">
                  <c:v>18.480000000000008</c:v>
                </c:pt>
                <c:pt idx="85">
                  <c:v>18.700000000000006</c:v>
                </c:pt>
                <c:pt idx="86">
                  <c:v>18.920000000000005</c:v>
                </c:pt>
                <c:pt idx="87">
                  <c:v>19.140000000000004</c:v>
                </c:pt>
                <c:pt idx="88">
                  <c:v>19.360000000000003</c:v>
                </c:pt>
                <c:pt idx="89">
                  <c:v>19.580000000000002</c:v>
                </c:pt>
                <c:pt idx="90">
                  <c:v>19.8</c:v>
                </c:pt>
                <c:pt idx="91">
                  <c:v>20.02</c:v>
                </c:pt>
                <c:pt idx="92">
                  <c:v>20.239999999999998</c:v>
                </c:pt>
                <c:pt idx="93">
                  <c:v>20.459999999999997</c:v>
                </c:pt>
                <c:pt idx="94">
                  <c:v>20.679999999999996</c:v>
                </c:pt>
                <c:pt idx="95">
                  <c:v>20.899999999999995</c:v>
                </c:pt>
                <c:pt idx="96">
                  <c:v>21.119999999999994</c:v>
                </c:pt>
                <c:pt idx="97">
                  <c:v>21.339999999999993</c:v>
                </c:pt>
                <c:pt idx="98">
                  <c:v>21.559999999999992</c:v>
                </c:pt>
                <c:pt idx="99">
                  <c:v>21.77999999999999</c:v>
                </c:pt>
                <c:pt idx="100">
                  <c:v>21.999999999999989</c:v>
                </c:pt>
              </c:numCache>
            </c:numRef>
          </c:xVal>
          <c:yVal>
            <c:numRef>
              <c:f>'12662PC_Weibull'!$C$28:$C$128</c:f>
              <c:numCache>
                <c:formatCode>0.00</c:formatCode>
                <c:ptCount val="101"/>
                <c:pt idx="0">
                  <c:v>5.8739292988594896</c:v>
                </c:pt>
                <c:pt idx="1">
                  <c:v>5.7122652234532554</c:v>
                </c:pt>
                <c:pt idx="2">
                  <c:v>5.6158576918557941</c:v>
                </c:pt>
                <c:pt idx="3">
                  <c:v>5.5346465871601653</c:v>
                </c:pt>
                <c:pt idx="4">
                  <c:v>5.4619580295832879</c:v>
                </c:pt>
                <c:pt idx="5">
                  <c:v>5.3950135462478839</c:v>
                </c:pt>
                <c:pt idx="6">
                  <c:v>5.3323171044570232</c:v>
                </c:pt>
                <c:pt idx="7">
                  <c:v>5.2729461797926813</c:v>
                </c:pt>
                <c:pt idx="8">
                  <c:v>5.2162811031530385</c:v>
                </c:pt>
                <c:pt idx="9">
                  <c:v>5.1618802046572778</c:v>
                </c:pt>
                <c:pt idx="10">
                  <c:v>5.1094146249265862</c:v>
                </c:pt>
                <c:pt idx="11">
                  <c:v>5.0586311372115942</c:v>
                </c:pt>
                <c:pt idx="12">
                  <c:v>5.0093294857531303</c:v>
                </c:pt>
                <c:pt idx="13">
                  <c:v>4.9613478337978725</c:v>
                </c:pt>
                <c:pt idx="14">
                  <c:v>4.9145530185700492</c:v>
                </c:pt>
                <c:pt idx="15">
                  <c:v>4.8688337956483743</c:v>
                </c:pt>
                <c:pt idx="16">
                  <c:v>4.8240960178255525</c:v>
                </c:pt>
                <c:pt idx="17">
                  <c:v>4.7802591084433521</c:v>
                </c:pt>
                <c:pt idx="18">
                  <c:v>4.7372534260996693</c:v>
                </c:pt>
                <c:pt idx="19">
                  <c:v>4.6950182585462237</c:v>
                </c:pt>
                <c:pt idx="20">
                  <c:v>4.6535002704313078</c:v>
                </c:pt>
                <c:pt idx="21">
                  <c:v>4.6126522847168534</c:v>
                </c:pt>
                <c:pt idx="22">
                  <c:v>4.5724323136145077</c:v>
                </c:pt>
                <c:pt idx="23">
                  <c:v>4.532802778962564</c:v>
                </c:pt>
                <c:pt idx="24">
                  <c:v>4.493729878408355</c:v>
                </c:pt>
                <c:pt idx="25">
                  <c:v>4.4551830652067883</c:v>
                </c:pt>
                <c:pt idx="26">
                  <c:v>4.4171346175523496</c:v>
                </c:pt>
                <c:pt idx="27">
                  <c:v>4.3795592791942655</c:v>
                </c:pt>
                <c:pt idx="28">
                  <c:v>4.3424339573411093</c:v>
                </c:pt>
                <c:pt idx="29">
                  <c:v>4.3057374670086697</c:v>
                </c:pt>
                <c:pt idx="30">
                  <c:v>4.2694503133205783</c:v>
                </c:pt>
                <c:pt idx="31">
                  <c:v>4.2335545050539611</c:v>
                </c:pt>
                <c:pt idx="32">
                  <c:v>4.198033394085444</c:v>
                </c:pt>
                <c:pt idx="33">
                  <c:v>4.1628715364451612</c:v>
                </c:pt>
                <c:pt idx="34">
                  <c:v>4.1280545715058947</c:v>
                </c:pt>
                <c:pt idx="35">
                  <c:v>4.0935691164781662</c:v>
                </c:pt>
                <c:pt idx="36">
                  <c:v>4.0594026738914364</c:v>
                </c:pt>
                <c:pt idx="37">
                  <c:v>4.0255435501477219</c:v>
                </c:pt>
                <c:pt idx="38">
                  <c:v>3.9919807835599022</c:v>
                </c:pt>
                <c:pt idx="39">
                  <c:v>3.9587040805503615</c:v>
                </c:pt>
                <c:pt idx="40">
                  <c:v>3.9257037588996448</c:v>
                </c:pt>
                <c:pt idx="41">
                  <c:v>3.8929706971098148</c:v>
                </c:pt>
                <c:pt idx="42">
                  <c:v>3.8604962890910075</c:v>
                </c:pt>
                <c:pt idx="43">
                  <c:v>3.8282724034984863</c:v>
                </c:pt>
                <c:pt idx="44">
                  <c:v>3.7962913471461617</c:v>
                </c:pt>
                <c:pt idx="45">
                  <c:v>3.7645458320047713</c:v>
                </c:pt>
                <c:pt idx="46">
                  <c:v>3.7330289453618661</c:v>
                </c:pt>
                <c:pt idx="47">
                  <c:v>3.7017341227786908</c:v>
                </c:pt>
                <c:pt idx="48">
                  <c:v>3.6706551235280296</c:v>
                </c:pt>
                <c:pt idx="49">
                  <c:v>3.6397860082385849</c:v>
                </c:pt>
                <c:pt idx="50">
                  <c:v>3.6091211185068</c:v>
                </c:pt>
                <c:pt idx="51">
                  <c:v>3.578655058267167</c:v>
                </c:pt>
                <c:pt idx="52">
                  <c:v>3.5483826767379458</c:v>
                </c:pt>
                <c:pt idx="53">
                  <c:v>3.5182990527813884</c:v>
                </c:pt>
                <c:pt idx="54">
                  <c:v>3.4883994805367422</c:v>
                </c:pt>
                <c:pt idx="55">
                  <c:v>3.4586794562008532</c:v>
                </c:pt>
                <c:pt idx="56">
                  <c:v>3.4291346658455502</c:v>
                </c:pt>
                <c:pt idx="57">
                  <c:v>3.3997609741734669</c:v>
                </c:pt>
                <c:pt idx="58">
                  <c:v>3.3705544141248693</c:v>
                </c:pt>
                <c:pt idx="59">
                  <c:v>3.341511177257531</c:v>
                </c:pt>
                <c:pt idx="60">
                  <c:v>3.3126276048300771</c:v>
                </c:pt>
                <c:pt idx="61">
                  <c:v>3.2839001795264973</c:v>
                </c:pt>
                <c:pt idx="62">
                  <c:v>3.2553255177659932</c:v>
                </c:pt>
                <c:pt idx="63">
                  <c:v>3.2269003625480179</c:v>
                </c:pt>
                <c:pt idx="64">
                  <c:v>3.1986215767873518</c:v>
                </c:pt>
                <c:pt idx="65">
                  <c:v>3.1704861370985604</c:v>
                </c:pt>
                <c:pt idx="66">
                  <c:v>3.1424911279930785</c:v>
                </c:pt>
                <c:pt idx="67">
                  <c:v>3.1146337364557204</c:v>
                </c:pt>
                <c:pt idx="68">
                  <c:v>3.0869112468705149</c:v>
                </c:pt>
                <c:pt idx="69">
                  <c:v>3.0593210362685728</c:v>
                </c:pt>
                <c:pt idx="70">
                  <c:v>3.0318605698731917</c:v>
                </c:pt>
                <c:pt idx="71">
                  <c:v>3.0045273969196171</c:v>
                </c:pt>
                <c:pt idx="72">
                  <c:v>2.9773191467289322</c:v>
                </c:pt>
                <c:pt idx="73">
                  <c:v>2.9502335250172811</c:v>
                </c:pt>
                <c:pt idx="74">
                  <c:v>2.9232683104233379</c:v>
                </c:pt>
                <c:pt idx="75">
                  <c:v>2.8964213512383044</c:v>
                </c:pt>
                <c:pt idx="76">
                  <c:v>2.8696905623241182</c:v>
                </c:pt>
                <c:pt idx="77">
                  <c:v>2.8430739222066941</c:v>
                </c:pt>
                <c:pt idx="78">
                  <c:v>2.8165694703321149</c:v>
                </c:pt>
                <c:pt idx="79">
                  <c:v>2.7901753044746824</c:v>
                </c:pt>
                <c:pt idx="80">
                  <c:v>2.7638895782865944</c:v>
                </c:pt>
                <c:pt idx="81">
                  <c:v>2.737710498979852</c:v>
                </c:pt>
                <c:pt idx="82">
                  <c:v>2.7116363251317086</c:v>
                </c:pt>
                <c:pt idx="83">
                  <c:v>2.6856653646056663</c:v>
                </c:pt>
                <c:pt idx="84">
                  <c:v>2.6597959725806057</c:v>
                </c:pt>
                <c:pt idx="85">
                  <c:v>2.6340265496812081</c:v>
                </c:pt>
                <c:pt idx="86">
                  <c:v>2.6083555402033549</c:v>
                </c:pt>
                <c:pt idx="87">
                  <c:v>2.582781430428601</c:v>
                </c:pt>
                <c:pt idx="88">
                  <c:v>2.5573027470223049</c:v>
                </c:pt>
                <c:pt idx="89">
                  <c:v>2.5319180555103578</c:v>
                </c:pt>
                <c:pt idx="90">
                  <c:v>2.5066259588298019</c:v>
                </c:pt>
                <c:pt idx="91">
                  <c:v>2.481425095948993</c:v>
                </c:pt>
                <c:pt idx="92">
                  <c:v>2.4563141405532338</c:v>
                </c:pt>
                <c:pt idx="93">
                  <c:v>2.4312917997920942</c:v>
                </c:pt>
                <c:pt idx="94">
                  <c:v>2.4063568130848951</c:v>
                </c:pt>
                <c:pt idx="95">
                  <c:v>2.3815079509810668</c:v>
                </c:pt>
                <c:pt idx="96">
                  <c:v>2.3567440140723099</c:v>
                </c:pt>
                <c:pt idx="97">
                  <c:v>2.332063831953687</c:v>
                </c:pt>
                <c:pt idx="98">
                  <c:v>2.3074662622309638</c:v>
                </c:pt>
                <c:pt idx="99">
                  <c:v>2.282950189571701</c:v>
                </c:pt>
                <c:pt idx="100">
                  <c:v>2.2585145247977274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36032"/>
        <c:axId val="240936424"/>
      </c:scatterChart>
      <c:valAx>
        <c:axId val="24093603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0936424"/>
        <c:crosses val="autoZero"/>
        <c:crossBetween val="midCat"/>
      </c:valAx>
      <c:valAx>
        <c:axId val="24093642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093603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'13126UC_Coroller'!$A$2:$A$17</c:f>
              <c:numCache>
                <c:formatCode>0.00</c:formatCode>
                <c:ptCount val="16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24</c:v>
                </c:pt>
                <c:pt idx="7">
                  <c:v>10</c:v>
                </c:pt>
                <c:pt idx="8">
                  <c:v>12</c:v>
                </c:pt>
                <c:pt idx="9">
                  <c:v>14</c:v>
                </c:pt>
                <c:pt idx="10">
                  <c:v>16</c:v>
                </c:pt>
                <c:pt idx="11">
                  <c:v>18</c:v>
                </c:pt>
                <c:pt idx="12">
                  <c:v>10</c:v>
                </c:pt>
                <c:pt idx="13">
                  <c:v>12</c:v>
                </c:pt>
                <c:pt idx="14">
                  <c:v>14</c:v>
                </c:pt>
                <c:pt idx="15">
                  <c:v>18</c:v>
                </c:pt>
              </c:numCache>
            </c:numRef>
          </c:xVal>
          <c:yVal>
            <c:numRef>
              <c:f>'13126UC_Coroller'!$B$2:$B$17</c:f>
              <c:numCache>
                <c:formatCode>0.00</c:formatCode>
                <c:ptCount val="16"/>
                <c:pt idx="0">
                  <c:v>5.7558748556724915</c:v>
                </c:pt>
                <c:pt idx="1">
                  <c:v>3.1139433523068369</c:v>
                </c:pt>
                <c:pt idx="2">
                  <c:v>2.7781512503836434</c:v>
                </c:pt>
                <c:pt idx="3">
                  <c:v>2.1760912590556813</c:v>
                </c:pt>
                <c:pt idx="4">
                  <c:v>2.5440680443502757</c:v>
                </c:pt>
                <c:pt idx="5">
                  <c:v>1.8129133566428555</c:v>
                </c:pt>
                <c:pt idx="6">
                  <c:v>1.5440680443502757</c:v>
                </c:pt>
                <c:pt idx="7">
                  <c:v>5.3010299956639813</c:v>
                </c:pt>
                <c:pt idx="8">
                  <c:v>5.1367205671564067</c:v>
                </c:pt>
                <c:pt idx="9">
                  <c:v>2.3617278360175926</c:v>
                </c:pt>
                <c:pt idx="10">
                  <c:v>2.3324384599156054</c:v>
                </c:pt>
                <c:pt idx="11">
                  <c:v>1.8129133566428555</c:v>
                </c:pt>
                <c:pt idx="12">
                  <c:v>5.7558748556724915</c:v>
                </c:pt>
                <c:pt idx="13">
                  <c:v>5.0530784434834199</c:v>
                </c:pt>
                <c:pt idx="14">
                  <c:v>1.8450980400142569</c:v>
                </c:pt>
                <c:pt idx="15">
                  <c:v>2.3710678622717363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tx2">
                  <a:lumMod val="60000"/>
                  <a:lumOff val="40000"/>
                </a:schemeClr>
              </a:solidFill>
            </a:ln>
          </c:spPr>
          <c:marker>
            <c:symbol val="none"/>
          </c:marker>
          <c:xVal>
            <c:numRef>
              <c:f>'13126UC_Coroller'!$A$21:$A$121</c:f>
              <c:numCache>
                <c:formatCode>0.00</c:formatCode>
                <c:ptCount val="101"/>
                <c:pt idx="0">
                  <c:v>0</c:v>
                </c:pt>
                <c:pt idx="1">
                  <c:v>0.24</c:v>
                </c:pt>
                <c:pt idx="2">
                  <c:v>0.48</c:v>
                </c:pt>
                <c:pt idx="3">
                  <c:v>0.72</c:v>
                </c:pt>
                <c:pt idx="4">
                  <c:v>0.96</c:v>
                </c:pt>
                <c:pt idx="5">
                  <c:v>1.2</c:v>
                </c:pt>
                <c:pt idx="6">
                  <c:v>1.44</c:v>
                </c:pt>
                <c:pt idx="7">
                  <c:v>1.68</c:v>
                </c:pt>
                <c:pt idx="8">
                  <c:v>1.92</c:v>
                </c:pt>
                <c:pt idx="9">
                  <c:v>2.16</c:v>
                </c:pt>
                <c:pt idx="10">
                  <c:v>2.4000000000000004</c:v>
                </c:pt>
                <c:pt idx="11">
                  <c:v>2.6400000000000006</c:v>
                </c:pt>
                <c:pt idx="12">
                  <c:v>2.8800000000000008</c:v>
                </c:pt>
                <c:pt idx="13">
                  <c:v>3.120000000000001</c:v>
                </c:pt>
                <c:pt idx="14">
                  <c:v>3.3600000000000012</c:v>
                </c:pt>
                <c:pt idx="15">
                  <c:v>3.6000000000000014</c:v>
                </c:pt>
                <c:pt idx="16">
                  <c:v>3.8400000000000016</c:v>
                </c:pt>
                <c:pt idx="17">
                  <c:v>4.0800000000000018</c:v>
                </c:pt>
                <c:pt idx="18">
                  <c:v>4.3200000000000021</c:v>
                </c:pt>
                <c:pt idx="19">
                  <c:v>4.5600000000000023</c:v>
                </c:pt>
                <c:pt idx="20">
                  <c:v>4.8000000000000025</c:v>
                </c:pt>
                <c:pt idx="21">
                  <c:v>5.0400000000000027</c:v>
                </c:pt>
                <c:pt idx="22">
                  <c:v>5.2800000000000029</c:v>
                </c:pt>
                <c:pt idx="23">
                  <c:v>5.5200000000000031</c:v>
                </c:pt>
                <c:pt idx="24">
                  <c:v>5.7600000000000033</c:v>
                </c:pt>
                <c:pt idx="25">
                  <c:v>6.0000000000000036</c:v>
                </c:pt>
                <c:pt idx="26">
                  <c:v>6.2400000000000038</c:v>
                </c:pt>
                <c:pt idx="27">
                  <c:v>6.480000000000004</c:v>
                </c:pt>
                <c:pt idx="28">
                  <c:v>6.7200000000000042</c:v>
                </c:pt>
                <c:pt idx="29">
                  <c:v>6.9600000000000044</c:v>
                </c:pt>
                <c:pt idx="30">
                  <c:v>7.2000000000000046</c:v>
                </c:pt>
                <c:pt idx="31">
                  <c:v>7.4400000000000048</c:v>
                </c:pt>
                <c:pt idx="32">
                  <c:v>7.680000000000005</c:v>
                </c:pt>
                <c:pt idx="33">
                  <c:v>7.9200000000000053</c:v>
                </c:pt>
                <c:pt idx="34">
                  <c:v>8.1600000000000055</c:v>
                </c:pt>
                <c:pt idx="35">
                  <c:v>8.4000000000000057</c:v>
                </c:pt>
                <c:pt idx="36">
                  <c:v>8.6400000000000059</c:v>
                </c:pt>
                <c:pt idx="37">
                  <c:v>8.8800000000000061</c:v>
                </c:pt>
                <c:pt idx="38">
                  <c:v>9.1200000000000063</c:v>
                </c:pt>
                <c:pt idx="39">
                  <c:v>9.3600000000000065</c:v>
                </c:pt>
                <c:pt idx="40">
                  <c:v>9.6000000000000068</c:v>
                </c:pt>
                <c:pt idx="41">
                  <c:v>9.840000000000007</c:v>
                </c:pt>
                <c:pt idx="42">
                  <c:v>10.080000000000007</c:v>
                </c:pt>
                <c:pt idx="43">
                  <c:v>10.320000000000007</c:v>
                </c:pt>
                <c:pt idx="44">
                  <c:v>10.560000000000008</c:v>
                </c:pt>
                <c:pt idx="45">
                  <c:v>10.800000000000008</c:v>
                </c:pt>
                <c:pt idx="46">
                  <c:v>11.040000000000008</c:v>
                </c:pt>
                <c:pt idx="47">
                  <c:v>11.280000000000008</c:v>
                </c:pt>
                <c:pt idx="48">
                  <c:v>11.520000000000008</c:v>
                </c:pt>
                <c:pt idx="49">
                  <c:v>11.760000000000009</c:v>
                </c:pt>
                <c:pt idx="50">
                  <c:v>12.000000000000009</c:v>
                </c:pt>
                <c:pt idx="51">
                  <c:v>12.240000000000009</c:v>
                </c:pt>
                <c:pt idx="52">
                  <c:v>12.480000000000009</c:v>
                </c:pt>
                <c:pt idx="53">
                  <c:v>12.72000000000001</c:v>
                </c:pt>
                <c:pt idx="54">
                  <c:v>12.96000000000001</c:v>
                </c:pt>
                <c:pt idx="55">
                  <c:v>13.20000000000001</c:v>
                </c:pt>
                <c:pt idx="56">
                  <c:v>13.44000000000001</c:v>
                </c:pt>
                <c:pt idx="57">
                  <c:v>13.68000000000001</c:v>
                </c:pt>
                <c:pt idx="58">
                  <c:v>13.920000000000011</c:v>
                </c:pt>
                <c:pt idx="59">
                  <c:v>14.160000000000011</c:v>
                </c:pt>
                <c:pt idx="60">
                  <c:v>14.400000000000011</c:v>
                </c:pt>
                <c:pt idx="61">
                  <c:v>14.640000000000011</c:v>
                </c:pt>
                <c:pt idx="62">
                  <c:v>14.880000000000011</c:v>
                </c:pt>
                <c:pt idx="63">
                  <c:v>15.120000000000012</c:v>
                </c:pt>
                <c:pt idx="64">
                  <c:v>15.360000000000012</c:v>
                </c:pt>
                <c:pt idx="65">
                  <c:v>15.600000000000012</c:v>
                </c:pt>
                <c:pt idx="66">
                  <c:v>15.840000000000012</c:v>
                </c:pt>
                <c:pt idx="67">
                  <c:v>16.080000000000013</c:v>
                </c:pt>
                <c:pt idx="68">
                  <c:v>16.320000000000011</c:v>
                </c:pt>
                <c:pt idx="69">
                  <c:v>16.560000000000009</c:v>
                </c:pt>
                <c:pt idx="70">
                  <c:v>16.800000000000008</c:v>
                </c:pt>
                <c:pt idx="71">
                  <c:v>17.040000000000006</c:v>
                </c:pt>
                <c:pt idx="72">
                  <c:v>17.280000000000005</c:v>
                </c:pt>
                <c:pt idx="73">
                  <c:v>17.520000000000003</c:v>
                </c:pt>
                <c:pt idx="74">
                  <c:v>17.760000000000002</c:v>
                </c:pt>
                <c:pt idx="75">
                  <c:v>18</c:v>
                </c:pt>
                <c:pt idx="76">
                  <c:v>18.239999999999998</c:v>
                </c:pt>
                <c:pt idx="77">
                  <c:v>18.479999999999997</c:v>
                </c:pt>
                <c:pt idx="78">
                  <c:v>18.719999999999995</c:v>
                </c:pt>
                <c:pt idx="79">
                  <c:v>18.959999999999994</c:v>
                </c:pt>
                <c:pt idx="80">
                  <c:v>19.199999999999992</c:v>
                </c:pt>
                <c:pt idx="81">
                  <c:v>19.439999999999991</c:v>
                </c:pt>
                <c:pt idx="82">
                  <c:v>19.679999999999989</c:v>
                </c:pt>
                <c:pt idx="83">
                  <c:v>19.919999999999987</c:v>
                </c:pt>
                <c:pt idx="84">
                  <c:v>20.159999999999986</c:v>
                </c:pt>
                <c:pt idx="85">
                  <c:v>20.399999999999984</c:v>
                </c:pt>
                <c:pt idx="86">
                  <c:v>20.639999999999983</c:v>
                </c:pt>
                <c:pt idx="87">
                  <c:v>20.879999999999981</c:v>
                </c:pt>
                <c:pt idx="88">
                  <c:v>21.11999999999998</c:v>
                </c:pt>
                <c:pt idx="89">
                  <c:v>21.359999999999978</c:v>
                </c:pt>
                <c:pt idx="90">
                  <c:v>21.599999999999977</c:v>
                </c:pt>
                <c:pt idx="91">
                  <c:v>21.839999999999975</c:v>
                </c:pt>
                <c:pt idx="92">
                  <c:v>22.079999999999973</c:v>
                </c:pt>
                <c:pt idx="93">
                  <c:v>22.319999999999972</c:v>
                </c:pt>
                <c:pt idx="94">
                  <c:v>22.55999999999997</c:v>
                </c:pt>
                <c:pt idx="95">
                  <c:v>22.799999999999969</c:v>
                </c:pt>
                <c:pt idx="96">
                  <c:v>23.039999999999967</c:v>
                </c:pt>
                <c:pt idx="97">
                  <c:v>23.279999999999966</c:v>
                </c:pt>
                <c:pt idx="98">
                  <c:v>23.519999999999964</c:v>
                </c:pt>
                <c:pt idx="99">
                  <c:v>23.759999999999962</c:v>
                </c:pt>
                <c:pt idx="100">
                  <c:v>23.999999999999961</c:v>
                </c:pt>
              </c:numCache>
            </c:numRef>
          </c:xVal>
          <c:yVal>
            <c:numRef>
              <c:f>'13126UC_Coroller'!$C$21:$C$121</c:f>
              <c:numCache>
                <c:formatCode>0.00</c:formatCode>
                <c:ptCount val="101"/>
                <c:pt idx="0">
                  <c:v>5.4931621000711157</c:v>
                </c:pt>
                <c:pt idx="1">
                  <c:v>5.4931620999786777</c:v>
                </c:pt>
                <c:pt idx="2">
                  <c:v>5.4931620941551094</c:v>
                </c:pt>
                <c:pt idx="3">
                  <c:v>5.4931620326841069</c:v>
                </c:pt>
                <c:pt idx="4">
                  <c:v>5.4931617214467128</c:v>
                </c:pt>
                <c:pt idx="5">
                  <c:v>5.493160655733643</c:v>
                </c:pt>
                <c:pt idx="6">
                  <c:v>5.4931577873025379</c:v>
                </c:pt>
                <c:pt idx="7">
                  <c:v>5.493151224880175</c:v>
                </c:pt>
                <c:pt idx="8">
                  <c:v>5.4931378681096641</c:v>
                </c:pt>
                <c:pt idx="9">
                  <c:v>5.4931129749427638</c:v>
                </c:pt>
                <c:pt idx="10">
                  <c:v>5.4930696624775486</c:v>
                </c:pt>
                <c:pt idx="11">
                  <c:v>5.492998341241945</c:v>
                </c:pt>
                <c:pt idx="12">
                  <c:v>5.4928860829240431</c:v>
                </c:pt>
                <c:pt idx="13">
                  <c:v>5.4927159215507624</c:v>
                </c:pt>
                <c:pt idx="14">
                  <c:v>5.4924660881174443</c:v>
                </c:pt>
                <c:pt idx="15">
                  <c:v>5.4921091786723979</c:v>
                </c:pt>
                <c:pt idx="16">
                  <c:v>5.4916112558625372</c:v>
                </c:pt>
                <c:pt idx="17">
                  <c:v>5.4909308839490576</c:v>
                </c:pt>
                <c:pt idx="18">
                  <c:v>5.4900180973061321</c:v>
                </c:pt>
                <c:pt idx="19">
                  <c:v>5.4888133024208141</c:v>
                </c:pt>
                <c:pt idx="20">
                  <c:v>5.4872461134195101</c:v>
                </c:pt>
                <c:pt idx="21">
                  <c:v>5.4852341211557212</c:v>
                </c:pt>
                <c:pt idx="22">
                  <c:v>5.4826815959063717</c:v>
                </c:pt>
                <c:pt idx="23">
                  <c:v>5.4794781237406536</c:v>
                </c:pt>
                <c:pt idx="24">
                  <c:v>5.4754971766477389</c:v>
                </c:pt>
                <c:pt idx="25">
                  <c:v>5.4705946165398922</c:v>
                </c:pt>
                <c:pt idx="26">
                  <c:v>5.4646071332887169</c:v>
                </c:pt>
                <c:pt idx="27">
                  <c:v>5.4573506170090926</c:v>
                </c:pt>
                <c:pt idx="28">
                  <c:v>5.4486184648846336</c:v>
                </c:pt>
                <c:pt idx="29">
                  <c:v>5.4381798229405076</c:v>
                </c:pt>
                <c:pt idx="30">
                  <c:v>5.425777763329692</c:v>
                </c:pt>
                <c:pt idx="31">
                  <c:v>5.4111273979308745</c:v>
                </c:pt>
                <c:pt idx="32">
                  <c:v>5.3939139293968248</c:v>
                </c:pt>
                <c:pt idx="33">
                  <c:v>5.3737906412984229</c:v>
                </c:pt>
                <c:pt idx="34">
                  <c:v>5.3503768297723155</c:v>
                </c:pt>
                <c:pt idx="35">
                  <c:v>5.3232556802453646</c:v>
                </c:pt>
                <c:pt idx="36">
                  <c:v>5.2919720946145974</c:v>
                </c:pt>
                <c:pt idx="37">
                  <c:v>5.2560304771020903</c:v>
                </c:pt>
                <c:pt idx="38">
                  <c:v>5.2148924915452577</c:v>
                </c:pt>
                <c:pt idx="39">
                  <c:v>5.1679748102654619</c:v>
                </c:pt>
                <c:pt idx="40">
                  <c:v>5.1146468868747528</c:v>
                </c:pt>
                <c:pt idx="41">
                  <c:v>5.054228805981233</c:v>
                </c:pt>
                <c:pt idx="42">
                  <c:v>4.9859892981866247</c:v>
                </c:pt>
                <c:pt idx="43">
                  <c:v>4.9091440710020553</c:v>
                </c:pt>
                <c:pt idx="44">
                  <c:v>4.8228547180382577</c:v>
                </c:pt>
                <c:pt idx="45">
                  <c:v>4.7262286740983495</c:v>
                </c:pt>
                <c:pt idx="46">
                  <c:v>4.6183210700828168</c:v>
                </c:pt>
                <c:pt idx="47">
                  <c:v>4.4981400866978474</c:v>
                </c:pt>
                <c:pt idx="48">
                  <c:v>4.3646588794071901</c:v>
                </c:pt>
                <c:pt idx="49">
                  <c:v>4.2168401325012024</c:v>
                </c:pt>
                <c:pt idx="50">
                  <c:v>4.0536854825757143</c:v>
                </c:pt>
                <c:pt idx="51">
                  <c:v>3.8743350589179144</c:v>
                </c:pt>
                <c:pt idx="52">
                  <c:v>3.6782698184255929</c:v>
                </c:pt>
                <c:pt idx="53">
                  <c:v>3.4657255718805482</c:v>
                </c:pt>
                <c:pt idx="54">
                  <c:v>3.2385310266186633</c:v>
                </c:pt>
                <c:pt idx="55">
                  <c:v>3.0017093604812235</c:v>
                </c:pt>
                <c:pt idx="56">
                  <c:v>2.7660392150425945</c:v>
                </c:pt>
                <c:pt idx="57">
                  <c:v>2.5502436562241111</c:v>
                </c:pt>
                <c:pt idx="58">
                  <c:v>2.3775728961241565</c:v>
                </c:pt>
                <c:pt idx="59">
                  <c:v>2.2623139979094549</c:v>
                </c:pt>
                <c:pt idx="60">
                  <c:v>2.198606616220236</c:v>
                </c:pt>
                <c:pt idx="61">
                  <c:v>2.1680219031057164</c:v>
                </c:pt>
                <c:pt idx="62">
                  <c:v>2.1538953370627794</c:v>
                </c:pt>
                <c:pt idx="63">
                  <c:v>2.14649435950317</c:v>
                </c:pt>
                <c:pt idx="64">
                  <c:v>2.1413582737687924</c:v>
                </c:pt>
                <c:pt idx="65">
                  <c:v>2.1367371829418849</c:v>
                </c:pt>
                <c:pt idx="66">
                  <c:v>2.132017085812715</c:v>
                </c:pt>
                <c:pt idx="67">
                  <c:v>2.1269955595532721</c:v>
                </c:pt>
                <c:pt idx="68">
                  <c:v>2.1216010688130371</c:v>
                </c:pt>
                <c:pt idx="69">
                  <c:v>2.1157982605801271</c:v>
                </c:pt>
                <c:pt idx="70">
                  <c:v>2.1095599508992859</c:v>
                </c:pt>
                <c:pt idx="71">
                  <c:v>2.1028598613506491</c:v>
                </c:pt>
                <c:pt idx="72">
                  <c:v>2.0956709604945822</c:v>
                </c:pt>
                <c:pt idx="73">
                  <c:v>2.0879651148906127</c:v>
                </c:pt>
                <c:pt idx="74">
                  <c:v>2.0797130031829654</c:v>
                </c:pt>
                <c:pt idx="75">
                  <c:v>2.0708840750853965</c:v>
                </c:pt>
                <c:pt idx="76">
                  <c:v>2.0614465165424902</c:v>
                </c:pt>
                <c:pt idx="77">
                  <c:v>2.0513672152495195</c:v>
                </c:pt>
                <c:pt idx="78">
                  <c:v>2.0406117257956402</c:v>
                </c:pt>
                <c:pt idx="79">
                  <c:v>2.0291442343528239</c:v>
                </c:pt>
                <c:pt idx="80">
                  <c:v>2.0169275229037291</c:v>
                </c:pt>
                <c:pt idx="81">
                  <c:v>2.0039229330080341</c:v>
                </c:pt>
                <c:pt idx="82">
                  <c:v>1.990090329107191</c:v>
                </c:pt>
                <c:pt idx="83">
                  <c:v>1.9753880613676038</c:v>
                </c:pt>
                <c:pt idx="84">
                  <c:v>1.959772928062236</c:v>
                </c:pt>
                <c:pt idx="85">
                  <c:v>1.9432001374906362</c:v>
                </c:pt>
                <c:pt idx="86">
                  <c:v>1.9256232694373951</c:v>
                </c:pt>
                <c:pt idx="87">
                  <c:v>1.9069942361690218</c:v>
                </c:pt>
                <c:pt idx="88">
                  <c:v>1.887263242969246</c:v>
                </c:pt>
                <c:pt idx="89">
                  <c:v>1.8663787482127479</c:v>
                </c:pt>
                <c:pt idx="90">
                  <c:v>1.8442874229773076</c:v>
                </c:pt>
                <c:pt idx="91">
                  <c:v>1.8209341101943834</c:v>
                </c:pt>
                <c:pt idx="92">
                  <c:v>1.7962617833381127</c:v>
                </c:pt>
                <c:pt idx="93">
                  <c:v>1.7702115046527376</c:v>
                </c:pt>
                <c:pt idx="94">
                  <c:v>1.7427223829184548</c:v>
                </c:pt>
                <c:pt idx="95">
                  <c:v>1.7137315307556908</c:v>
                </c:pt>
                <c:pt idx="96">
                  <c:v>1.6831740214678037</c:v>
                </c:pt>
                <c:pt idx="97">
                  <c:v>1.650982845422204</c:v>
                </c:pt>
                <c:pt idx="98">
                  <c:v>1.6170888659699045</c:v>
                </c:pt>
                <c:pt idx="99">
                  <c:v>1.5814207749034954</c:v>
                </c:pt>
                <c:pt idx="100">
                  <c:v>1.5439050474535405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37208"/>
        <c:axId val="240937600"/>
      </c:scatterChart>
      <c:valAx>
        <c:axId val="240937208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0937600"/>
        <c:crosses val="autoZero"/>
        <c:crossBetween val="midCat"/>
      </c:valAx>
      <c:valAx>
        <c:axId val="240937600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409372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'13136UC_Albert'!$A$2:$A$23</c:f>
              <c:numCache>
                <c:formatCode>0.00</c:formatCode>
                <c:ptCount val="22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14</c:v>
                </c:pt>
                <c:pt idx="4">
                  <c:v>16</c:v>
                </c:pt>
                <c:pt idx="5">
                  <c:v>18</c:v>
                </c:pt>
                <c:pt idx="6">
                  <c:v>20</c:v>
                </c:pt>
                <c:pt idx="7">
                  <c:v>22</c:v>
                </c:pt>
                <c:pt idx="8">
                  <c:v>26</c:v>
                </c:pt>
                <c:pt idx="9">
                  <c:v>0</c:v>
                </c:pt>
                <c:pt idx="10">
                  <c:v>10</c:v>
                </c:pt>
                <c:pt idx="11">
                  <c:v>12</c:v>
                </c:pt>
                <c:pt idx="12">
                  <c:v>14</c:v>
                </c:pt>
                <c:pt idx="13">
                  <c:v>16</c:v>
                </c:pt>
                <c:pt idx="14">
                  <c:v>18</c:v>
                </c:pt>
                <c:pt idx="15">
                  <c:v>26</c:v>
                </c:pt>
                <c:pt idx="16">
                  <c:v>0</c:v>
                </c:pt>
                <c:pt idx="17">
                  <c:v>10</c:v>
                </c:pt>
                <c:pt idx="18">
                  <c:v>12</c:v>
                </c:pt>
                <c:pt idx="19">
                  <c:v>18</c:v>
                </c:pt>
                <c:pt idx="20">
                  <c:v>22</c:v>
                </c:pt>
                <c:pt idx="21">
                  <c:v>26</c:v>
                </c:pt>
              </c:numCache>
            </c:numRef>
          </c:xVal>
          <c:yVal>
            <c:numRef>
              <c:f>'13136UC_Albert'!$B$2:$B$23</c:f>
              <c:numCache>
                <c:formatCode>0.00</c:formatCode>
                <c:ptCount val="22"/>
                <c:pt idx="0">
                  <c:v>5.7403626894942441</c:v>
                </c:pt>
                <c:pt idx="1">
                  <c:v>3.0899051114393981</c:v>
                </c:pt>
                <c:pt idx="2">
                  <c:v>2.9395192526186187</c:v>
                </c:pt>
                <c:pt idx="3">
                  <c:v>2.6020599913279625</c:v>
                </c:pt>
                <c:pt idx="4">
                  <c:v>1.8129133566428555</c:v>
                </c:pt>
                <c:pt idx="5">
                  <c:v>2.4983105537896004</c:v>
                </c:pt>
                <c:pt idx="6">
                  <c:v>2.3979400086720375</c:v>
                </c:pt>
                <c:pt idx="7">
                  <c:v>2.2671717284030137</c:v>
                </c:pt>
                <c:pt idx="8">
                  <c:v>1.4771212547196624</c:v>
                </c:pt>
                <c:pt idx="9">
                  <c:v>5.1367205671564067</c:v>
                </c:pt>
                <c:pt idx="10">
                  <c:v>4.9542425094393252</c:v>
                </c:pt>
                <c:pt idx="11">
                  <c:v>2.9395192526186187</c:v>
                </c:pt>
                <c:pt idx="12">
                  <c:v>1.1760912590556813</c:v>
                </c:pt>
                <c:pt idx="13">
                  <c:v>1.1760912590556813</c:v>
                </c:pt>
                <c:pt idx="14">
                  <c:v>1.5440680443502757</c:v>
                </c:pt>
                <c:pt idx="15">
                  <c:v>1.9294189257142926</c:v>
                </c:pt>
                <c:pt idx="16">
                  <c:v>5.0791812460476251</c:v>
                </c:pt>
                <c:pt idx="17">
                  <c:v>4.4771212547196626</c:v>
                </c:pt>
                <c:pt idx="18">
                  <c:v>3.5185139398778875</c:v>
                </c:pt>
                <c:pt idx="19">
                  <c:v>1.5440680443502757</c:v>
                </c:pt>
                <c:pt idx="20">
                  <c:v>1.1760912590556813</c:v>
                </c:pt>
                <c:pt idx="21">
                  <c:v>1.1760912590556813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'13136UC_Albert'!$A$27:$A$126</c:f>
              <c:numCache>
                <c:formatCode>0.00</c:formatCode>
                <c:ptCount val="100"/>
                <c:pt idx="0">
                  <c:v>0</c:v>
                </c:pt>
                <c:pt idx="1">
                  <c:v>0.26</c:v>
                </c:pt>
                <c:pt idx="2">
                  <c:v>0.52</c:v>
                </c:pt>
                <c:pt idx="3">
                  <c:v>0.78</c:v>
                </c:pt>
                <c:pt idx="4">
                  <c:v>1.04</c:v>
                </c:pt>
                <c:pt idx="5">
                  <c:v>1.3</c:v>
                </c:pt>
                <c:pt idx="6">
                  <c:v>1.56</c:v>
                </c:pt>
                <c:pt idx="7">
                  <c:v>1.82</c:v>
                </c:pt>
                <c:pt idx="8">
                  <c:v>2.08</c:v>
                </c:pt>
                <c:pt idx="9">
                  <c:v>2.34</c:v>
                </c:pt>
                <c:pt idx="10">
                  <c:v>2.5999999999999996</c:v>
                </c:pt>
                <c:pt idx="11">
                  <c:v>2.8599999999999994</c:v>
                </c:pt>
                <c:pt idx="12">
                  <c:v>3.1199999999999992</c:v>
                </c:pt>
                <c:pt idx="13">
                  <c:v>3.379999999999999</c:v>
                </c:pt>
                <c:pt idx="14">
                  <c:v>3.6399999999999988</c:v>
                </c:pt>
                <c:pt idx="15">
                  <c:v>3.8999999999999986</c:v>
                </c:pt>
                <c:pt idx="16">
                  <c:v>4.1599999999999984</c:v>
                </c:pt>
                <c:pt idx="17">
                  <c:v>4.4199999999999982</c:v>
                </c:pt>
                <c:pt idx="18">
                  <c:v>4.6799999999999979</c:v>
                </c:pt>
                <c:pt idx="19">
                  <c:v>4.9399999999999977</c:v>
                </c:pt>
                <c:pt idx="20">
                  <c:v>5.1999999999999975</c:v>
                </c:pt>
                <c:pt idx="21">
                  <c:v>5.4599999999999973</c:v>
                </c:pt>
                <c:pt idx="22">
                  <c:v>5.7199999999999971</c:v>
                </c:pt>
                <c:pt idx="23">
                  <c:v>5.9799999999999969</c:v>
                </c:pt>
                <c:pt idx="24">
                  <c:v>6.2399999999999967</c:v>
                </c:pt>
                <c:pt idx="25">
                  <c:v>6.4999999999999964</c:v>
                </c:pt>
                <c:pt idx="26">
                  <c:v>6.7599999999999962</c:v>
                </c:pt>
                <c:pt idx="27">
                  <c:v>7.019999999999996</c:v>
                </c:pt>
                <c:pt idx="28">
                  <c:v>7.2799999999999958</c:v>
                </c:pt>
                <c:pt idx="29">
                  <c:v>7.5399999999999956</c:v>
                </c:pt>
                <c:pt idx="30">
                  <c:v>7.7999999999999954</c:v>
                </c:pt>
                <c:pt idx="31">
                  <c:v>8.0599999999999952</c:v>
                </c:pt>
                <c:pt idx="32">
                  <c:v>8.319999999999995</c:v>
                </c:pt>
                <c:pt idx="33">
                  <c:v>8.5799999999999947</c:v>
                </c:pt>
                <c:pt idx="34">
                  <c:v>8.8399999999999945</c:v>
                </c:pt>
                <c:pt idx="35">
                  <c:v>9.0999999999999943</c:v>
                </c:pt>
                <c:pt idx="36">
                  <c:v>9.3599999999999941</c:v>
                </c:pt>
                <c:pt idx="37">
                  <c:v>9.6199999999999939</c:v>
                </c:pt>
                <c:pt idx="38">
                  <c:v>9.8799999999999937</c:v>
                </c:pt>
                <c:pt idx="39">
                  <c:v>10.139999999999993</c:v>
                </c:pt>
                <c:pt idx="40">
                  <c:v>10.399999999999993</c:v>
                </c:pt>
                <c:pt idx="41">
                  <c:v>10.659999999999993</c:v>
                </c:pt>
                <c:pt idx="42">
                  <c:v>10.919999999999993</c:v>
                </c:pt>
                <c:pt idx="43">
                  <c:v>11.179999999999993</c:v>
                </c:pt>
                <c:pt idx="44">
                  <c:v>11.439999999999992</c:v>
                </c:pt>
                <c:pt idx="45">
                  <c:v>11.699999999999992</c:v>
                </c:pt>
                <c:pt idx="46">
                  <c:v>11.959999999999992</c:v>
                </c:pt>
                <c:pt idx="47">
                  <c:v>12.219999999999992</c:v>
                </c:pt>
                <c:pt idx="48">
                  <c:v>12.479999999999992</c:v>
                </c:pt>
                <c:pt idx="49">
                  <c:v>12.739999999999991</c:v>
                </c:pt>
                <c:pt idx="50">
                  <c:v>12.999999999999991</c:v>
                </c:pt>
                <c:pt idx="51">
                  <c:v>13.259999999999991</c:v>
                </c:pt>
                <c:pt idx="52">
                  <c:v>13.519999999999991</c:v>
                </c:pt>
                <c:pt idx="53">
                  <c:v>13.77999999999999</c:v>
                </c:pt>
                <c:pt idx="54">
                  <c:v>14.03999999999999</c:v>
                </c:pt>
                <c:pt idx="55">
                  <c:v>14.29999999999999</c:v>
                </c:pt>
                <c:pt idx="56">
                  <c:v>14.55999999999999</c:v>
                </c:pt>
                <c:pt idx="57">
                  <c:v>14.81999999999999</c:v>
                </c:pt>
                <c:pt idx="58">
                  <c:v>15.079999999999989</c:v>
                </c:pt>
                <c:pt idx="59">
                  <c:v>15.339999999999989</c:v>
                </c:pt>
                <c:pt idx="60">
                  <c:v>15.599999999999989</c:v>
                </c:pt>
                <c:pt idx="61">
                  <c:v>15.859999999999989</c:v>
                </c:pt>
                <c:pt idx="62">
                  <c:v>16.11999999999999</c:v>
                </c:pt>
                <c:pt idx="63">
                  <c:v>16.379999999999992</c:v>
                </c:pt>
                <c:pt idx="64">
                  <c:v>16.639999999999993</c:v>
                </c:pt>
                <c:pt idx="65">
                  <c:v>16.899999999999995</c:v>
                </c:pt>
                <c:pt idx="66">
                  <c:v>17.159999999999997</c:v>
                </c:pt>
                <c:pt idx="67">
                  <c:v>17.419999999999998</c:v>
                </c:pt>
                <c:pt idx="68">
                  <c:v>17.68</c:v>
                </c:pt>
                <c:pt idx="69">
                  <c:v>17.940000000000001</c:v>
                </c:pt>
                <c:pt idx="70">
                  <c:v>18.200000000000003</c:v>
                </c:pt>
                <c:pt idx="71">
                  <c:v>18.460000000000004</c:v>
                </c:pt>
                <c:pt idx="72">
                  <c:v>18.720000000000006</c:v>
                </c:pt>
                <c:pt idx="73">
                  <c:v>18.980000000000008</c:v>
                </c:pt>
                <c:pt idx="74">
                  <c:v>19.240000000000009</c:v>
                </c:pt>
                <c:pt idx="75">
                  <c:v>19.500000000000011</c:v>
                </c:pt>
                <c:pt idx="76">
                  <c:v>19.760000000000012</c:v>
                </c:pt>
                <c:pt idx="77">
                  <c:v>20.020000000000014</c:v>
                </c:pt>
                <c:pt idx="78">
                  <c:v>20.280000000000015</c:v>
                </c:pt>
                <c:pt idx="79">
                  <c:v>20.540000000000017</c:v>
                </c:pt>
                <c:pt idx="80">
                  <c:v>20.800000000000018</c:v>
                </c:pt>
                <c:pt idx="81">
                  <c:v>21.06000000000002</c:v>
                </c:pt>
                <c:pt idx="82">
                  <c:v>21.320000000000022</c:v>
                </c:pt>
                <c:pt idx="83">
                  <c:v>21.580000000000023</c:v>
                </c:pt>
                <c:pt idx="84">
                  <c:v>21.840000000000025</c:v>
                </c:pt>
                <c:pt idx="85">
                  <c:v>22.100000000000026</c:v>
                </c:pt>
                <c:pt idx="86">
                  <c:v>22.360000000000028</c:v>
                </c:pt>
                <c:pt idx="87">
                  <c:v>22.620000000000029</c:v>
                </c:pt>
                <c:pt idx="88">
                  <c:v>22.880000000000031</c:v>
                </c:pt>
                <c:pt idx="89">
                  <c:v>23.140000000000033</c:v>
                </c:pt>
                <c:pt idx="90">
                  <c:v>23.400000000000034</c:v>
                </c:pt>
                <c:pt idx="91">
                  <c:v>23.660000000000036</c:v>
                </c:pt>
                <c:pt idx="92">
                  <c:v>23.920000000000037</c:v>
                </c:pt>
                <c:pt idx="93">
                  <c:v>24.180000000000039</c:v>
                </c:pt>
                <c:pt idx="94">
                  <c:v>24.44000000000004</c:v>
                </c:pt>
                <c:pt idx="95">
                  <c:v>24.700000000000042</c:v>
                </c:pt>
                <c:pt idx="96">
                  <c:v>24.960000000000043</c:v>
                </c:pt>
                <c:pt idx="97">
                  <c:v>25.220000000000045</c:v>
                </c:pt>
                <c:pt idx="98">
                  <c:v>25.480000000000047</c:v>
                </c:pt>
                <c:pt idx="99">
                  <c:v>25.740000000000048</c:v>
                </c:pt>
              </c:numCache>
            </c:numRef>
          </c:xVal>
          <c:yVal>
            <c:numRef>
              <c:f>'13136UC_Albert'!$C$27:$C$126</c:f>
              <c:numCache>
                <c:formatCode>0.00</c:formatCode>
                <c:ptCount val="100"/>
                <c:pt idx="0">
                  <c:v>5.3163597694222959</c:v>
                </c:pt>
                <c:pt idx="1">
                  <c:v>5.3163580210864438</c:v>
                </c:pt>
                <c:pt idx="2">
                  <c:v>5.316337566258782</c:v>
                </c:pt>
                <c:pt idx="3">
                  <c:v>5.3162615741442503</c:v>
                </c:pt>
                <c:pt idx="4">
                  <c:v>5.3160777981781822</c:v>
                </c:pt>
                <c:pt idx="5">
                  <c:v>5.3157207033150913</c:v>
                </c:pt>
                <c:pt idx="6">
                  <c:v>5.3151127292240421</c:v>
                </c:pt>
                <c:pt idx="7">
                  <c:v>5.3141651720181029</c:v>
                </c:pt>
                <c:pt idx="8">
                  <c:v>5.3127788512889129</c:v>
                </c:pt>
                <c:pt idx="9">
                  <c:v>5.3108446406268621</c:v>
                </c:pt>
                <c:pt idx="10">
                  <c:v>5.3082439043984193</c:v>
                </c:pt>
                <c:pt idx="11">
                  <c:v>5.3048488666105849</c:v>
                </c:pt>
                <c:pt idx="12">
                  <c:v>5.300522928591529</c:v>
                </c:pt>
                <c:pt idx="13">
                  <c:v>5.2951209469091722</c:v>
                </c:pt>
                <c:pt idx="14">
                  <c:v>5.2884894796585797</c:v>
                </c:pt>
                <c:pt idx="15">
                  <c:v>5.280467007109908</c:v>
                </c:pt>
                <c:pt idx="16">
                  <c:v>5.2708841312669374</c:v>
                </c:pt>
                <c:pt idx="17">
                  <c:v>5.2595637578883805</c:v>
                </c:pt>
                <c:pt idx="18">
                  <c:v>5.2463212638223391</c:v>
                </c:pt>
                <c:pt idx="19">
                  <c:v>5.2309646520096287</c:v>
                </c:pt>
                <c:pt idx="20">
                  <c:v>5.2132946961706388</c:v>
                </c:pt>
                <c:pt idx="21">
                  <c:v>5.1931050769719089</c:v>
                </c:pt>
                <c:pt idx="22">
                  <c:v>5.1701825113578161</c:v>
                </c:pt>
                <c:pt idx="23">
                  <c:v>5.1443068767281392</c:v>
                </c:pt>
                <c:pt idx="24">
                  <c:v>5.1152513317555455</c:v>
                </c:pt>
                <c:pt idx="25">
                  <c:v>5.0827824358954894</c:v>
                </c:pt>
                <c:pt idx="26">
                  <c:v>5.0466602700929242</c:v>
                </c:pt>
                <c:pt idx="27">
                  <c:v>5.0066385619139799</c:v>
                </c:pt>
                <c:pt idx="28">
                  <c:v>4.9624648194505472</c:v>
                </c:pt>
                <c:pt idx="29">
                  <c:v>4.9138804800569265</c:v>
                </c:pt>
                <c:pt idx="30">
                  <c:v>4.8606210825882945</c:v>
                </c:pt>
                <c:pt idx="31">
                  <c:v>4.8024164758097179</c:v>
                </c:pt>
                <c:pt idx="32">
                  <c:v>4.7389910818153851</c:v>
                </c:pt>
                <c:pt idx="33">
                  <c:v>4.6700642429084489</c:v>
                </c:pt>
                <c:pt idx="34">
                  <c:v>4.5953506955172587</c:v>
                </c:pt>
                <c:pt idx="35">
                  <c:v>4.5145612387959684</c:v>
                </c:pt>
                <c:pt idx="36">
                  <c:v>4.4274037043189338</c:v>
                </c:pt>
                <c:pt idx="37">
                  <c:v>4.3335843964416583</c:v>
                </c:pt>
                <c:pt idx="38">
                  <c:v>4.2328102770657869</c:v>
                </c:pt>
                <c:pt idx="39">
                  <c:v>4.1247923423460886</c:v>
                </c:pt>
                <c:pt idx="40">
                  <c:v>4.0092509320694871</c:v>
                </c:pt>
                <c:pt idx="41">
                  <c:v>3.885924211822005</c:v>
                </c:pt>
                <c:pt idx="42">
                  <c:v>3.7545819247850813</c:v>
                </c:pt>
                <c:pt idx="43">
                  <c:v>3.6150479840404812</c:v>
                </c:pt>
                <c:pt idx="44">
                  <c:v>3.4672380005908332</c:v>
                </c:pt>
                <c:pt idx="45">
                  <c:v>3.3112220857384571</c:v>
                </c:pt>
                <c:pt idx="46">
                  <c:v>3.1473300788578529</c:v>
                </c:pt>
                <c:pt idx="47">
                  <c:v>2.9763261597805601</c:v>
                </c:pt>
                <c:pt idx="48">
                  <c:v>2.7996901477058502</c:v>
                </c:pt>
                <c:pt idx="49">
                  <c:v>2.6200408482931943</c:v>
                </c:pt>
                <c:pt idx="50">
                  <c:v>2.4416829089400558</c:v>
                </c:pt>
                <c:pt idx="51">
                  <c:v>2.2710714361531106</c:v>
                </c:pt>
                <c:pt idx="52">
                  <c:v>2.1166154243024993</c:v>
                </c:pt>
                <c:pt idx="53">
                  <c:v>1.9869875209609547</c:v>
                </c:pt>
                <c:pt idx="54">
                  <c:v>1.8879201792956879</c:v>
                </c:pt>
                <c:pt idx="55">
                  <c:v>1.8195252943241498</c:v>
                </c:pt>
                <c:pt idx="56">
                  <c:v>1.7766646222893205</c:v>
                </c:pt>
                <c:pt idx="57">
                  <c:v>1.7519490630884504</c:v>
                </c:pt>
                <c:pt idx="58">
                  <c:v>1.7386290204260129</c:v>
                </c:pt>
                <c:pt idx="59">
                  <c:v>1.7318351860427104</c:v>
                </c:pt>
                <c:pt idx="60">
                  <c:v>1.728528744755703</c:v>
                </c:pt>
                <c:pt idx="61">
                  <c:v>1.726986283989238</c:v>
                </c:pt>
                <c:pt idx="62">
                  <c:v>1.7262951333352532</c:v>
                </c:pt>
                <c:pt idx="63">
                  <c:v>1.7259974908091402</c:v>
                </c:pt>
                <c:pt idx="64">
                  <c:v>1.7258743259224296</c:v>
                </c:pt>
                <c:pt idx="65">
                  <c:v>1.7258253851806795</c:v>
                </c:pt>
                <c:pt idx="66">
                  <c:v>1.7258067267419843</c:v>
                </c:pt>
                <c:pt idx="67">
                  <c:v>1.7257999083076427</c:v>
                </c:pt>
                <c:pt idx="68">
                  <c:v>1.7257975223710444</c:v>
                </c:pt>
                <c:pt idx="69">
                  <c:v>1.725796723741164</c:v>
                </c:pt>
                <c:pt idx="70">
                  <c:v>1.7257964683039784</c:v>
                </c:pt>
                <c:pt idx="71">
                  <c:v>1.7257963903195292</c:v>
                </c:pt>
                <c:pt idx="72">
                  <c:v>1.7257963676185093</c:v>
                </c:pt>
                <c:pt idx="73">
                  <c:v>1.725796361324615</c:v>
                </c:pt>
                <c:pt idx="74">
                  <c:v>1.7257963596644601</c:v>
                </c:pt>
                <c:pt idx="75">
                  <c:v>1.725796359248313</c:v>
                </c:pt>
                <c:pt idx="76">
                  <c:v>1.7257963591492931</c:v>
                </c:pt>
                <c:pt idx="77">
                  <c:v>1.7257963591269532</c:v>
                </c:pt>
                <c:pt idx="78">
                  <c:v>1.7257963591221799</c:v>
                </c:pt>
                <c:pt idx="79">
                  <c:v>1.7257963591212151</c:v>
                </c:pt>
                <c:pt idx="80">
                  <c:v>1.7257963591210308</c:v>
                </c:pt>
                <c:pt idx="81">
                  <c:v>1.7257963591209977</c:v>
                </c:pt>
                <c:pt idx="82">
                  <c:v>1.7257963591209919</c:v>
                </c:pt>
                <c:pt idx="83">
                  <c:v>1.7257963591209911</c:v>
                </c:pt>
                <c:pt idx="84">
                  <c:v>1.7257963591209911</c:v>
                </c:pt>
                <c:pt idx="85">
                  <c:v>1.7257963591209911</c:v>
                </c:pt>
                <c:pt idx="86">
                  <c:v>1.7257963591209911</c:v>
                </c:pt>
                <c:pt idx="87">
                  <c:v>1.7257963591209911</c:v>
                </c:pt>
                <c:pt idx="88">
                  <c:v>1.7257963591209911</c:v>
                </c:pt>
                <c:pt idx="89">
                  <c:v>1.7257963591209911</c:v>
                </c:pt>
                <c:pt idx="90">
                  <c:v>1.7257963591209911</c:v>
                </c:pt>
                <c:pt idx="91">
                  <c:v>1.7257963591209911</c:v>
                </c:pt>
                <c:pt idx="92">
                  <c:v>1.7257963591209911</c:v>
                </c:pt>
                <c:pt idx="93">
                  <c:v>1.7257963591209911</c:v>
                </c:pt>
                <c:pt idx="94">
                  <c:v>1.7257963591209911</c:v>
                </c:pt>
                <c:pt idx="95">
                  <c:v>1.7257963591209911</c:v>
                </c:pt>
                <c:pt idx="96">
                  <c:v>1.7257963591209911</c:v>
                </c:pt>
                <c:pt idx="97">
                  <c:v>1.7257963591209911</c:v>
                </c:pt>
                <c:pt idx="98">
                  <c:v>1.7257963591209911</c:v>
                </c:pt>
                <c:pt idx="99">
                  <c:v>1.7257963591209911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40938776"/>
        <c:axId val="240939168"/>
      </c:scatterChart>
      <c:valAx>
        <c:axId val="24093877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40939168"/>
        <c:crosses val="autoZero"/>
        <c:crossBetween val="midCat"/>
      </c:valAx>
      <c:valAx>
        <c:axId val="24093916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409387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15</xdr:row>
      <xdr:rowOff>149225</xdr:rowOff>
    </xdr:from>
    <xdr:to>
      <xdr:col>14</xdr:col>
      <xdr:colOff>42994</xdr:colOff>
      <xdr:row>40</xdr:row>
      <xdr:rowOff>64438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592930</xdr:colOff>
      <xdr:row>16</xdr:row>
      <xdr:rowOff>11112</xdr:rowOff>
    </xdr:from>
    <xdr:to>
      <xdr:col>13</xdr:col>
      <xdr:colOff>581155</xdr:colOff>
      <xdr:row>37</xdr:row>
      <xdr:rowOff>93012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</xdr:colOff>
      <xdr:row>16</xdr:row>
      <xdr:rowOff>130174</xdr:rowOff>
    </xdr:from>
    <xdr:to>
      <xdr:col>13</xdr:col>
      <xdr:colOff>588300</xdr:colOff>
      <xdr:row>42</xdr:row>
      <xdr:rowOff>2524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590550</xdr:colOff>
      <xdr:row>16</xdr:row>
      <xdr:rowOff>149225</xdr:rowOff>
    </xdr:from>
    <xdr:to>
      <xdr:col>13</xdr:col>
      <xdr:colOff>594650</xdr:colOff>
      <xdr:row>42</xdr:row>
      <xdr:rowOff>104125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9523</xdr:colOff>
      <xdr:row>17</xdr:row>
      <xdr:rowOff>6349</xdr:rowOff>
    </xdr:from>
    <xdr:to>
      <xdr:col>14</xdr:col>
      <xdr:colOff>69186</xdr:colOff>
      <xdr:row>38</xdr:row>
      <xdr:rowOff>88249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607218</xdr:colOff>
      <xdr:row>16</xdr:row>
      <xdr:rowOff>6349</xdr:rowOff>
    </xdr:from>
    <xdr:to>
      <xdr:col>13</xdr:col>
      <xdr:colOff>595443</xdr:colOff>
      <xdr:row>37</xdr:row>
      <xdr:rowOff>88249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5"/>
  <sheetViews>
    <sheetView tabSelected="1" zoomScale="80" zoomScaleNormal="80" workbookViewId="0"/>
  </sheetViews>
  <sheetFormatPr defaultRowHeight="15" x14ac:dyDescent="0.25"/>
  <cols>
    <col min="1" max="1" width="9.140625" style="7"/>
    <col min="2" max="2" width="10.5703125" style="7" bestFit="1" customWidth="1"/>
    <col min="3" max="3" width="11.28515625" style="7" bestFit="1" customWidth="1"/>
    <col min="4" max="4" width="13.7109375" style="7" bestFit="1" customWidth="1"/>
    <col min="5" max="16384" width="9.140625" style="7"/>
  </cols>
  <sheetData>
    <row r="1" spans="1:6" x14ac:dyDescent="0.25">
      <c r="A1" s="7" t="s">
        <v>2</v>
      </c>
      <c r="B1" s="7" t="s">
        <v>6</v>
      </c>
      <c r="C1" s="7" t="s">
        <v>44</v>
      </c>
      <c r="D1" s="7" t="s">
        <v>40</v>
      </c>
      <c r="E1" s="7" t="s">
        <v>0</v>
      </c>
      <c r="F1" s="7" t="s">
        <v>1</v>
      </c>
    </row>
    <row r="2" spans="1:6" x14ac:dyDescent="0.25">
      <c r="A2" s="7">
        <v>12628</v>
      </c>
      <c r="B2" s="7" t="s">
        <v>3</v>
      </c>
      <c r="C2" s="7" t="s">
        <v>43</v>
      </c>
      <c r="D2" s="7" t="s">
        <v>41</v>
      </c>
      <c r="E2" s="8">
        <v>0</v>
      </c>
      <c r="F2" s="9">
        <v>5.8633228601204559</v>
      </c>
    </row>
    <row r="3" spans="1:6" x14ac:dyDescent="0.25">
      <c r="A3" s="7">
        <v>12628</v>
      </c>
      <c r="B3" s="7" t="s">
        <v>3</v>
      </c>
      <c r="C3" s="7" t="s">
        <v>43</v>
      </c>
      <c r="D3" s="7" t="s">
        <v>41</v>
      </c>
      <c r="E3" s="8">
        <v>10</v>
      </c>
      <c r="F3" s="9">
        <v>4.9395192526186182</v>
      </c>
    </row>
    <row r="4" spans="1:6" x14ac:dyDescent="0.25">
      <c r="A4" s="7">
        <v>12628</v>
      </c>
      <c r="B4" s="7" t="s">
        <v>3</v>
      </c>
      <c r="C4" s="7" t="s">
        <v>43</v>
      </c>
      <c r="D4" s="7" t="s">
        <v>41</v>
      </c>
      <c r="E4" s="8">
        <v>12</v>
      </c>
      <c r="F4" s="9">
        <v>3.4771212547196626</v>
      </c>
    </row>
    <row r="5" spans="1:6" x14ac:dyDescent="0.25">
      <c r="A5" s="7">
        <v>12628</v>
      </c>
      <c r="B5" s="7" t="s">
        <v>3</v>
      </c>
      <c r="C5" s="7" t="s">
        <v>43</v>
      </c>
      <c r="D5" s="7" t="s">
        <v>41</v>
      </c>
      <c r="E5" s="8">
        <v>14</v>
      </c>
      <c r="F5" s="9">
        <v>2.5250448070368452</v>
      </c>
    </row>
    <row r="6" spans="1:6" x14ac:dyDescent="0.25">
      <c r="A6" s="7">
        <v>12628</v>
      </c>
      <c r="B6" s="7" t="s">
        <v>4</v>
      </c>
      <c r="C6" s="7" t="s">
        <v>43</v>
      </c>
      <c r="D6" s="7" t="s">
        <v>41</v>
      </c>
      <c r="E6" s="8">
        <v>0</v>
      </c>
      <c r="F6" s="9">
        <v>5.6989700043360187</v>
      </c>
    </row>
    <row r="7" spans="1:6" x14ac:dyDescent="0.25">
      <c r="A7" s="7">
        <v>12628</v>
      </c>
      <c r="B7" s="7" t="s">
        <v>4</v>
      </c>
      <c r="C7" s="7" t="s">
        <v>43</v>
      </c>
      <c r="D7" s="7" t="s">
        <v>41</v>
      </c>
      <c r="E7" s="8">
        <v>10</v>
      </c>
      <c r="F7" s="9">
        <v>4.6020599913279625</v>
      </c>
    </row>
    <row r="8" spans="1:6" x14ac:dyDescent="0.25">
      <c r="A8" s="7">
        <v>12628</v>
      </c>
      <c r="B8" s="7" t="s">
        <v>4</v>
      </c>
      <c r="C8" s="7" t="s">
        <v>43</v>
      </c>
      <c r="D8" s="7" t="s">
        <v>41</v>
      </c>
      <c r="E8" s="8">
        <v>12</v>
      </c>
      <c r="F8" s="9">
        <v>2.3617278360175926</v>
      </c>
    </row>
    <row r="9" spans="1:6" x14ac:dyDescent="0.25">
      <c r="A9" s="7">
        <v>12628</v>
      </c>
      <c r="B9" s="7" t="s">
        <v>4</v>
      </c>
      <c r="C9" s="7" t="s">
        <v>43</v>
      </c>
      <c r="D9" s="7" t="s">
        <v>41</v>
      </c>
      <c r="E9" s="8">
        <v>14</v>
      </c>
      <c r="F9" s="9">
        <v>1.9294189257142926</v>
      </c>
    </row>
    <row r="10" spans="1:6" x14ac:dyDescent="0.25">
      <c r="A10" s="7">
        <v>12628</v>
      </c>
      <c r="B10" s="7" t="s">
        <v>4</v>
      </c>
      <c r="C10" s="7" t="s">
        <v>43</v>
      </c>
      <c r="D10" s="7" t="s">
        <v>41</v>
      </c>
      <c r="E10" s="8">
        <v>16</v>
      </c>
      <c r="F10" s="9">
        <v>3</v>
      </c>
    </row>
    <row r="11" spans="1:6" x14ac:dyDescent="0.25">
      <c r="A11" s="7">
        <v>12628</v>
      </c>
      <c r="B11" s="7" t="s">
        <v>4</v>
      </c>
      <c r="C11" s="7" t="s">
        <v>43</v>
      </c>
      <c r="D11" s="7" t="s">
        <v>41</v>
      </c>
      <c r="E11" s="8">
        <v>18</v>
      </c>
      <c r="F11" s="9">
        <v>2.3324384599156054</v>
      </c>
    </row>
    <row r="12" spans="1:6" x14ac:dyDescent="0.25">
      <c r="A12" s="7">
        <v>12628</v>
      </c>
      <c r="B12" s="7" t="s">
        <v>5</v>
      </c>
      <c r="C12" s="7" t="s">
        <v>43</v>
      </c>
      <c r="D12" s="7" t="s">
        <v>41</v>
      </c>
      <c r="E12" s="8">
        <v>0</v>
      </c>
      <c r="F12" s="9">
        <v>5.7558748556724915</v>
      </c>
    </row>
    <row r="13" spans="1:6" x14ac:dyDescent="0.25">
      <c r="A13" s="7">
        <v>12628</v>
      </c>
      <c r="B13" s="7" t="s">
        <v>5</v>
      </c>
      <c r="C13" s="7" t="s">
        <v>43</v>
      </c>
      <c r="D13" s="7" t="s">
        <v>41</v>
      </c>
      <c r="E13" s="8">
        <v>10</v>
      </c>
      <c r="F13" s="9">
        <v>2.9684829485539352</v>
      </c>
    </row>
    <row r="14" spans="1:6" x14ac:dyDescent="0.25">
      <c r="A14" s="7">
        <v>12628</v>
      </c>
      <c r="B14" s="7" t="s">
        <v>5</v>
      </c>
      <c r="C14" s="7" t="s">
        <v>43</v>
      </c>
      <c r="D14" s="7" t="s">
        <v>41</v>
      </c>
      <c r="E14" s="8">
        <v>12</v>
      </c>
      <c r="F14" s="9">
        <v>2.6720978579357175</v>
      </c>
    </row>
    <row r="15" spans="1:6" x14ac:dyDescent="0.25">
      <c r="A15" s="7">
        <v>12628</v>
      </c>
      <c r="B15" s="7" t="s">
        <v>5</v>
      </c>
      <c r="C15" s="7" t="s">
        <v>43</v>
      </c>
      <c r="D15" s="7" t="s">
        <v>41</v>
      </c>
      <c r="E15" s="8">
        <v>14</v>
      </c>
      <c r="F15" s="9">
        <v>3.0606978403536118</v>
      </c>
    </row>
    <row r="16" spans="1:6" x14ac:dyDescent="0.25">
      <c r="A16" s="7">
        <v>12628</v>
      </c>
      <c r="B16" s="7" t="s">
        <v>5</v>
      </c>
      <c r="C16" s="7" t="s">
        <v>43</v>
      </c>
      <c r="D16" s="7" t="s">
        <v>41</v>
      </c>
      <c r="E16" s="8">
        <v>16</v>
      </c>
      <c r="F16" s="9">
        <v>2.6989700043360187</v>
      </c>
    </row>
    <row r="17" spans="1:6" x14ac:dyDescent="0.25">
      <c r="A17" s="7">
        <v>12628</v>
      </c>
      <c r="B17" s="7" t="s">
        <v>5</v>
      </c>
      <c r="C17" s="7" t="s">
        <v>43</v>
      </c>
      <c r="D17" s="7" t="s">
        <v>41</v>
      </c>
      <c r="E17" s="8">
        <v>18</v>
      </c>
      <c r="F17" s="9">
        <v>3.3010299956639813</v>
      </c>
    </row>
    <row r="18" spans="1:6" x14ac:dyDescent="0.25">
      <c r="A18" s="7">
        <v>12628</v>
      </c>
      <c r="B18" s="7" t="s">
        <v>5</v>
      </c>
      <c r="C18" s="7" t="s">
        <v>43</v>
      </c>
      <c r="D18" s="7" t="s">
        <v>41</v>
      </c>
      <c r="E18" s="8">
        <v>20</v>
      </c>
      <c r="F18" s="9">
        <v>3</v>
      </c>
    </row>
    <row r="19" spans="1:6" x14ac:dyDescent="0.25">
      <c r="A19" s="4">
        <v>12628</v>
      </c>
      <c r="B19" s="4" t="s">
        <v>3</v>
      </c>
      <c r="C19" s="4" t="s">
        <v>42</v>
      </c>
      <c r="D19" s="4" t="s">
        <v>41</v>
      </c>
      <c r="E19" s="3">
        <v>0</v>
      </c>
      <c r="F19" s="6">
        <f>LOG10(7.3*10^5)</f>
        <v>5.8633228601204559</v>
      </c>
    </row>
    <row r="20" spans="1:6" x14ac:dyDescent="0.25">
      <c r="A20" s="4">
        <v>12628</v>
      </c>
      <c r="B20" s="4" t="s">
        <v>3</v>
      </c>
      <c r="C20" s="4" t="s">
        <v>42</v>
      </c>
      <c r="D20" s="4" t="s">
        <v>41</v>
      </c>
      <c r="E20" s="3">
        <v>10</v>
      </c>
      <c r="F20" s="6">
        <f>LOG10(8.7*10^4)</f>
        <v>4.9395192526186182</v>
      </c>
    </row>
    <row r="21" spans="1:6" x14ac:dyDescent="0.25">
      <c r="A21" s="4">
        <v>12628</v>
      </c>
      <c r="B21" s="4" t="s">
        <v>3</v>
      </c>
      <c r="C21" s="4" t="s">
        <v>42</v>
      </c>
      <c r="D21" s="4" t="s">
        <v>41</v>
      </c>
      <c r="E21" s="3">
        <v>12</v>
      </c>
      <c r="F21" s="6">
        <f>LOG10(3*10^3)</f>
        <v>3.4771212547196626</v>
      </c>
    </row>
    <row r="22" spans="1:6" x14ac:dyDescent="0.25">
      <c r="A22" s="4">
        <v>12628</v>
      </c>
      <c r="B22" s="4" t="s">
        <v>3</v>
      </c>
      <c r="C22" s="4" t="s">
        <v>42</v>
      </c>
      <c r="D22" s="4" t="s">
        <v>41</v>
      </c>
      <c r="E22" s="3">
        <v>14</v>
      </c>
      <c r="F22" s="6">
        <f>LOG10(3.35*10^2)</f>
        <v>2.5250448070368452</v>
      </c>
    </row>
    <row r="23" spans="1:6" x14ac:dyDescent="0.25">
      <c r="A23" s="4">
        <v>12628</v>
      </c>
      <c r="B23" s="4" t="s">
        <v>4</v>
      </c>
      <c r="C23" s="4" t="s">
        <v>42</v>
      </c>
      <c r="D23" s="4" t="s">
        <v>41</v>
      </c>
      <c r="E23" s="3">
        <v>0</v>
      </c>
      <c r="F23" s="6">
        <f>LOG10(5*10^5)</f>
        <v>5.6989700043360187</v>
      </c>
    </row>
    <row r="24" spans="1:6" x14ac:dyDescent="0.25">
      <c r="A24" s="4">
        <v>12628</v>
      </c>
      <c r="B24" s="4" t="s">
        <v>4</v>
      </c>
      <c r="C24" s="4" t="s">
        <v>42</v>
      </c>
      <c r="D24" s="4" t="s">
        <v>41</v>
      </c>
      <c r="E24" s="3">
        <v>10</v>
      </c>
      <c r="F24" s="6">
        <f>LOG10(4*10^4)</f>
        <v>4.6020599913279625</v>
      </c>
    </row>
    <row r="25" spans="1:6" x14ac:dyDescent="0.25">
      <c r="A25" s="4">
        <v>12628</v>
      </c>
      <c r="B25" s="4" t="s">
        <v>4</v>
      </c>
      <c r="C25" s="4" t="s">
        <v>42</v>
      </c>
      <c r="D25" s="4" t="s">
        <v>41</v>
      </c>
      <c r="E25" s="3">
        <v>12</v>
      </c>
      <c r="F25" s="6">
        <f>LOG10(2.3*10^2)</f>
        <v>2.3617278360175926</v>
      </c>
    </row>
    <row r="26" spans="1:6" x14ac:dyDescent="0.25">
      <c r="A26" s="4">
        <v>12628</v>
      </c>
      <c r="B26" s="4" t="s">
        <v>4</v>
      </c>
      <c r="C26" s="4" t="s">
        <v>42</v>
      </c>
      <c r="D26" s="4" t="s">
        <v>41</v>
      </c>
      <c r="E26" s="3">
        <v>14</v>
      </c>
      <c r="F26" s="6">
        <f>LOG10(0.85*10^2)</f>
        <v>1.9294189257142926</v>
      </c>
    </row>
    <row r="27" spans="1:6" x14ac:dyDescent="0.25">
      <c r="A27" s="4">
        <v>12628</v>
      </c>
      <c r="B27" s="4" t="s">
        <v>4</v>
      </c>
      <c r="C27" s="4" t="s">
        <v>42</v>
      </c>
      <c r="D27" s="4" t="s">
        <v>41</v>
      </c>
      <c r="E27" s="3">
        <v>16</v>
      </c>
      <c r="F27" s="6">
        <v>3</v>
      </c>
    </row>
    <row r="28" spans="1:6" x14ac:dyDescent="0.25">
      <c r="A28" s="4">
        <v>12628</v>
      </c>
      <c r="B28" s="4" t="s">
        <v>4</v>
      </c>
      <c r="C28" s="4" t="s">
        <v>42</v>
      </c>
      <c r="D28" s="4" t="s">
        <v>41</v>
      </c>
      <c r="E28" s="3">
        <v>18</v>
      </c>
      <c r="F28" s="6">
        <f>LOG10(2.15*10^2)</f>
        <v>2.3324384599156054</v>
      </c>
    </row>
    <row r="29" spans="1:6" x14ac:dyDescent="0.25">
      <c r="A29" s="4">
        <v>12628</v>
      </c>
      <c r="B29" s="4" t="s">
        <v>5</v>
      </c>
      <c r="C29" s="4" t="s">
        <v>42</v>
      </c>
      <c r="D29" s="4" t="s">
        <v>41</v>
      </c>
      <c r="E29" s="3">
        <v>0</v>
      </c>
      <c r="F29" s="6">
        <f>LOG10(5.7*10^5)</f>
        <v>5.7558748556724915</v>
      </c>
    </row>
    <row r="30" spans="1:6" x14ac:dyDescent="0.25">
      <c r="A30" s="4">
        <v>12628</v>
      </c>
      <c r="B30" s="4" t="s">
        <v>5</v>
      </c>
      <c r="C30" s="4" t="s">
        <v>42</v>
      </c>
      <c r="D30" s="4" t="s">
        <v>41</v>
      </c>
      <c r="E30" s="3">
        <v>10</v>
      </c>
      <c r="F30" s="6">
        <f>LOG10(9.3*10^2)</f>
        <v>2.9684829485539352</v>
      </c>
    </row>
    <row r="31" spans="1:6" x14ac:dyDescent="0.25">
      <c r="A31" s="4">
        <v>12628</v>
      </c>
      <c r="B31" s="4" t="s">
        <v>5</v>
      </c>
      <c r="C31" s="4" t="s">
        <v>42</v>
      </c>
      <c r="D31" s="4" t="s">
        <v>41</v>
      </c>
      <c r="E31" s="3">
        <v>12</v>
      </c>
      <c r="F31" s="6">
        <f>LOG10(4.7*10^2)</f>
        <v>2.6720978579357175</v>
      </c>
    </row>
    <row r="32" spans="1:6" x14ac:dyDescent="0.25">
      <c r="A32" s="4">
        <v>12628</v>
      </c>
      <c r="B32" s="4" t="s">
        <v>5</v>
      </c>
      <c r="C32" s="4" t="s">
        <v>42</v>
      </c>
      <c r="D32" s="4" t="s">
        <v>41</v>
      </c>
      <c r="E32" s="3">
        <v>14</v>
      </c>
      <c r="F32" s="6">
        <f>LOG10(1.15*10^3)</f>
        <v>3.0606978403536118</v>
      </c>
    </row>
    <row r="33" spans="1:6" x14ac:dyDescent="0.25">
      <c r="A33" s="4">
        <v>12628</v>
      </c>
      <c r="B33" s="4" t="s">
        <v>5</v>
      </c>
      <c r="C33" s="4" t="s">
        <v>42</v>
      </c>
      <c r="D33" s="4" t="s">
        <v>41</v>
      </c>
      <c r="E33" s="3">
        <v>16</v>
      </c>
      <c r="F33" s="6">
        <f>LOG10(0.5*10^3)</f>
        <v>2.6989700043360187</v>
      </c>
    </row>
    <row r="34" spans="1:6" x14ac:dyDescent="0.25">
      <c r="A34" s="4">
        <v>12628</v>
      </c>
      <c r="B34" s="4" t="s">
        <v>5</v>
      </c>
      <c r="C34" s="4" t="s">
        <v>42</v>
      </c>
      <c r="D34" s="4" t="s">
        <v>41</v>
      </c>
      <c r="E34" s="3">
        <v>18</v>
      </c>
      <c r="F34" s="6">
        <f>LOG10(2*10^3)</f>
        <v>3.3010299956639813</v>
      </c>
    </row>
    <row r="35" spans="1:6" x14ac:dyDescent="0.25">
      <c r="A35" s="4">
        <v>12628</v>
      </c>
      <c r="B35" s="4" t="s">
        <v>5</v>
      </c>
      <c r="C35" s="4" t="s">
        <v>42</v>
      </c>
      <c r="D35" s="4" t="s">
        <v>41</v>
      </c>
      <c r="E35" s="3">
        <v>20</v>
      </c>
      <c r="F35" s="6">
        <v>3</v>
      </c>
    </row>
    <row r="36" spans="1:6" x14ac:dyDescent="0.25">
      <c r="A36" s="4">
        <v>12662</v>
      </c>
      <c r="B36" s="4" t="s">
        <v>3</v>
      </c>
      <c r="C36" s="4" t="s">
        <v>43</v>
      </c>
      <c r="D36" s="4" t="s">
        <v>41</v>
      </c>
      <c r="E36" s="3">
        <v>0</v>
      </c>
      <c r="F36" s="6">
        <f>LOG10(3.3*10^5)</f>
        <v>5.5185139398778871</v>
      </c>
    </row>
    <row r="37" spans="1:6" x14ac:dyDescent="0.25">
      <c r="A37" s="4">
        <v>12662</v>
      </c>
      <c r="B37" s="4" t="s">
        <v>3</v>
      </c>
      <c r="C37" s="4" t="s">
        <v>43</v>
      </c>
      <c r="D37" s="4" t="s">
        <v>41</v>
      </c>
      <c r="E37" s="3">
        <v>10</v>
      </c>
      <c r="F37" s="6">
        <f>LOG10(8.7*10^4)</f>
        <v>4.9395192526186182</v>
      </c>
    </row>
    <row r="38" spans="1:6" x14ac:dyDescent="0.25">
      <c r="A38" s="4">
        <v>12662</v>
      </c>
      <c r="B38" s="4" t="s">
        <v>3</v>
      </c>
      <c r="C38" s="4" t="s">
        <v>43</v>
      </c>
      <c r="D38" s="4" t="s">
        <v>41</v>
      </c>
      <c r="E38" s="3">
        <v>12</v>
      </c>
      <c r="F38" s="6">
        <f>LOG10(8*10^3)</f>
        <v>3.9030899869919438</v>
      </c>
    </row>
    <row r="39" spans="1:6" x14ac:dyDescent="0.25">
      <c r="A39" s="4">
        <v>12662</v>
      </c>
      <c r="B39" s="4" t="s">
        <v>3</v>
      </c>
      <c r="C39" s="4" t="s">
        <v>43</v>
      </c>
      <c r="D39" s="4" t="s">
        <v>41</v>
      </c>
      <c r="E39" s="3">
        <v>14</v>
      </c>
      <c r="F39" s="6">
        <f>LOG10(6*10^2)</f>
        <v>2.7781512503836434</v>
      </c>
    </row>
    <row r="40" spans="1:6" x14ac:dyDescent="0.25">
      <c r="A40" s="4">
        <v>12662</v>
      </c>
      <c r="B40" s="4" t="s">
        <v>4</v>
      </c>
      <c r="C40" s="4" t="s">
        <v>43</v>
      </c>
      <c r="D40" s="4" t="s">
        <v>41</v>
      </c>
      <c r="E40" s="3">
        <v>0</v>
      </c>
      <c r="F40" s="6">
        <f>LOG10(5.7*10^5)</f>
        <v>5.7558748556724915</v>
      </c>
    </row>
    <row r="41" spans="1:6" x14ac:dyDescent="0.25">
      <c r="A41" s="4">
        <v>12662</v>
      </c>
      <c r="B41" s="4" t="s">
        <v>4</v>
      </c>
      <c r="C41" s="4" t="s">
        <v>43</v>
      </c>
      <c r="D41" s="4" t="s">
        <v>41</v>
      </c>
      <c r="E41" s="3">
        <v>10</v>
      </c>
      <c r="F41" s="6">
        <f>LOG10(1.17*10^5)</f>
        <v>5.0681858617461613</v>
      </c>
    </row>
    <row r="42" spans="1:6" x14ac:dyDescent="0.25">
      <c r="A42" s="4">
        <v>12662</v>
      </c>
      <c r="B42" s="4" t="s">
        <v>4</v>
      </c>
      <c r="C42" s="4" t="s">
        <v>43</v>
      </c>
      <c r="D42" s="4" t="s">
        <v>41</v>
      </c>
      <c r="E42" s="3">
        <v>12</v>
      </c>
      <c r="F42" s="6">
        <f>LOG10(8.3*10^3)</f>
        <v>3.9190780923760737</v>
      </c>
    </row>
    <row r="43" spans="1:6" x14ac:dyDescent="0.25">
      <c r="A43" s="4">
        <v>12662</v>
      </c>
      <c r="B43" s="4" t="s">
        <v>4</v>
      </c>
      <c r="C43" s="4" t="s">
        <v>43</v>
      </c>
      <c r="D43" s="4" t="s">
        <v>41</v>
      </c>
      <c r="E43" s="3">
        <v>14</v>
      </c>
      <c r="F43" s="6">
        <f>LOG10(2.5*10^2)</f>
        <v>2.3979400086720375</v>
      </c>
    </row>
    <row r="44" spans="1:6" x14ac:dyDescent="0.25">
      <c r="A44" s="4">
        <v>12662</v>
      </c>
      <c r="B44" s="4" t="s">
        <v>4</v>
      </c>
      <c r="C44" s="4" t="s">
        <v>43</v>
      </c>
      <c r="D44" s="4" t="s">
        <v>41</v>
      </c>
      <c r="E44" s="3">
        <v>18</v>
      </c>
      <c r="F44" s="6">
        <f>LOG10(0.15*10^2)</f>
        <v>1.1760912590556813</v>
      </c>
    </row>
    <row r="45" spans="1:6" x14ac:dyDescent="0.25">
      <c r="A45" s="4">
        <v>12662</v>
      </c>
      <c r="B45" s="4" t="s">
        <v>4</v>
      </c>
      <c r="C45" s="4" t="s">
        <v>43</v>
      </c>
      <c r="D45" s="4" t="s">
        <v>41</v>
      </c>
      <c r="E45" s="3">
        <v>20</v>
      </c>
      <c r="F45" s="6">
        <f>LOG10(0.75*10^2)</f>
        <v>1.8750612633917001</v>
      </c>
    </row>
    <row r="46" spans="1:6" x14ac:dyDescent="0.25">
      <c r="A46" s="4">
        <v>12662</v>
      </c>
      <c r="B46" s="4" t="s">
        <v>4</v>
      </c>
      <c r="C46" s="4" t="s">
        <v>43</v>
      </c>
      <c r="D46" s="4" t="s">
        <v>41</v>
      </c>
      <c r="E46" s="3">
        <v>22</v>
      </c>
      <c r="F46" s="6">
        <f>LOG10(2.15*10^2)</f>
        <v>2.3324384599156054</v>
      </c>
    </row>
    <row r="47" spans="1:6" x14ac:dyDescent="0.25">
      <c r="A47" s="4">
        <v>12662</v>
      </c>
      <c r="B47" s="4" t="s">
        <v>5</v>
      </c>
      <c r="C47" s="4" t="s">
        <v>43</v>
      </c>
      <c r="D47" s="4" t="s">
        <v>41</v>
      </c>
      <c r="E47" s="3">
        <v>0</v>
      </c>
      <c r="F47" s="6">
        <f>LOG10(3.7*10^5)</f>
        <v>5.568201724066995</v>
      </c>
    </row>
    <row r="48" spans="1:6" x14ac:dyDescent="0.25">
      <c r="A48" s="4">
        <v>12662</v>
      </c>
      <c r="B48" s="4" t="s">
        <v>5</v>
      </c>
      <c r="C48" s="4" t="s">
        <v>43</v>
      </c>
      <c r="D48" s="4" t="s">
        <v>41</v>
      </c>
      <c r="E48" s="3">
        <v>10</v>
      </c>
      <c r="F48" s="6">
        <f>LOG10(5.3*10^3)</f>
        <v>3.7242758696007892</v>
      </c>
    </row>
    <row r="49" spans="1:6" x14ac:dyDescent="0.25">
      <c r="A49" s="4">
        <v>12662</v>
      </c>
      <c r="B49" s="4" t="s">
        <v>5</v>
      </c>
      <c r="C49" s="4" t="s">
        <v>43</v>
      </c>
      <c r="D49" s="4" t="s">
        <v>41</v>
      </c>
      <c r="E49" s="3">
        <v>12</v>
      </c>
      <c r="F49" s="6">
        <f>LOG10(4.3*10^3)</f>
        <v>3.6334684555795866</v>
      </c>
    </row>
    <row r="50" spans="1:6" x14ac:dyDescent="0.25">
      <c r="A50" s="4">
        <v>12662</v>
      </c>
      <c r="B50" s="4" t="s">
        <v>5</v>
      </c>
      <c r="C50" s="4" t="s">
        <v>43</v>
      </c>
      <c r="D50" s="4" t="s">
        <v>41</v>
      </c>
      <c r="E50" s="3">
        <v>14</v>
      </c>
      <c r="F50" s="6">
        <v>3</v>
      </c>
    </row>
    <row r="51" spans="1:6" x14ac:dyDescent="0.25">
      <c r="A51" s="4">
        <v>12662</v>
      </c>
      <c r="B51" s="4" t="s">
        <v>5</v>
      </c>
      <c r="C51" s="4" t="s">
        <v>43</v>
      </c>
      <c r="D51" s="4" t="s">
        <v>41</v>
      </c>
      <c r="E51" s="3">
        <v>16</v>
      </c>
      <c r="F51" s="6">
        <f>LOG10(1.15*10^3)</f>
        <v>3.0606978403536118</v>
      </c>
    </row>
    <row r="52" spans="1:6" x14ac:dyDescent="0.25">
      <c r="A52" s="4">
        <v>12662</v>
      </c>
      <c r="B52" s="4" t="s">
        <v>5</v>
      </c>
      <c r="C52" s="4" t="s">
        <v>43</v>
      </c>
      <c r="D52" s="4" t="s">
        <v>41</v>
      </c>
      <c r="E52" s="3">
        <v>18</v>
      </c>
      <c r="F52" s="6">
        <f>LOG10(4*10^2)</f>
        <v>2.6020599913279625</v>
      </c>
    </row>
    <row r="53" spans="1:6" x14ac:dyDescent="0.25">
      <c r="A53" s="4">
        <v>12662</v>
      </c>
      <c r="B53" s="4" t="s">
        <v>5</v>
      </c>
      <c r="C53" s="4" t="s">
        <v>43</v>
      </c>
      <c r="D53" s="4" t="s">
        <v>41</v>
      </c>
      <c r="E53" s="3">
        <v>20</v>
      </c>
      <c r="F53" s="6">
        <f>LOG10(5.65*10^2)</f>
        <v>2.7520484478194387</v>
      </c>
    </row>
    <row r="54" spans="1:6" x14ac:dyDescent="0.25">
      <c r="A54" s="4">
        <v>12662</v>
      </c>
      <c r="B54" s="4" t="s">
        <v>5</v>
      </c>
      <c r="C54" s="4" t="s">
        <v>43</v>
      </c>
      <c r="D54" s="4" t="s">
        <v>41</v>
      </c>
      <c r="E54" s="3">
        <v>22</v>
      </c>
      <c r="F54" s="6">
        <f>LOG10(1.5*10^2)</f>
        <v>2.1760912590556813</v>
      </c>
    </row>
    <row r="55" spans="1:6" x14ac:dyDescent="0.25">
      <c r="A55" s="4">
        <v>12662</v>
      </c>
      <c r="B55" s="4" t="s">
        <v>3</v>
      </c>
      <c r="C55" s="4" t="s">
        <v>42</v>
      </c>
      <c r="D55" s="4" t="s">
        <v>41</v>
      </c>
      <c r="E55" s="3">
        <v>0</v>
      </c>
      <c r="F55" s="6">
        <f>LOG10(5*10^5)</f>
        <v>5.6989700043360187</v>
      </c>
    </row>
    <row r="56" spans="1:6" x14ac:dyDescent="0.25">
      <c r="A56" s="4">
        <v>12662</v>
      </c>
      <c r="B56" s="4" t="s">
        <v>3</v>
      </c>
      <c r="C56" s="4" t="s">
        <v>42</v>
      </c>
      <c r="D56" s="4" t="s">
        <v>41</v>
      </c>
      <c r="E56" s="3">
        <v>10</v>
      </c>
      <c r="F56" s="6">
        <f>LOG10(1.2*10^4)</f>
        <v>4.0791812460476251</v>
      </c>
    </row>
    <row r="57" spans="1:6" x14ac:dyDescent="0.25">
      <c r="A57" s="4">
        <v>12662</v>
      </c>
      <c r="B57" s="4" t="s">
        <v>3</v>
      </c>
      <c r="C57" s="4" t="s">
        <v>42</v>
      </c>
      <c r="D57" s="4" t="s">
        <v>41</v>
      </c>
      <c r="E57" s="3">
        <v>12</v>
      </c>
      <c r="F57" s="6">
        <f>LOG10(1.3*10^2)</f>
        <v>2.1139433523068369</v>
      </c>
    </row>
    <row r="58" spans="1:6" x14ac:dyDescent="0.25">
      <c r="A58" s="4">
        <v>12662</v>
      </c>
      <c r="B58" s="4" t="s">
        <v>3</v>
      </c>
      <c r="C58" s="4" t="s">
        <v>42</v>
      </c>
      <c r="D58" s="4" t="s">
        <v>41</v>
      </c>
      <c r="E58" s="3">
        <v>14</v>
      </c>
      <c r="F58" s="6">
        <f>LOG10(2.15*10^2)</f>
        <v>2.3324384599156054</v>
      </c>
    </row>
    <row r="59" spans="1:6" x14ac:dyDescent="0.25">
      <c r="A59" s="4">
        <v>12662</v>
      </c>
      <c r="B59" s="4" t="s">
        <v>3</v>
      </c>
      <c r="C59" s="4" t="s">
        <v>42</v>
      </c>
      <c r="D59" s="4" t="s">
        <v>41</v>
      </c>
      <c r="E59" s="3">
        <v>16</v>
      </c>
      <c r="F59" s="6">
        <f>LOG10(5.35*10^3)</f>
        <v>3.7283537820212285</v>
      </c>
    </row>
    <row r="60" spans="1:6" x14ac:dyDescent="0.25">
      <c r="A60" s="4">
        <v>12662</v>
      </c>
      <c r="B60" s="4" t="s">
        <v>3</v>
      </c>
      <c r="C60" s="4" t="s">
        <v>42</v>
      </c>
      <c r="D60" s="4" t="s">
        <v>41</v>
      </c>
      <c r="E60" s="3">
        <v>18</v>
      </c>
      <c r="F60" s="6">
        <f>LOG10(4.35*10^3)</f>
        <v>3.6384892569546374</v>
      </c>
    </row>
    <row r="61" spans="1:6" x14ac:dyDescent="0.25">
      <c r="A61" s="4">
        <v>12662</v>
      </c>
      <c r="B61" s="4" t="s">
        <v>3</v>
      </c>
      <c r="C61" s="4" t="s">
        <v>42</v>
      </c>
      <c r="D61" s="4" t="s">
        <v>41</v>
      </c>
      <c r="E61" s="3">
        <v>20</v>
      </c>
      <c r="F61" s="6">
        <f>LOG10(5*10^2)</f>
        <v>2.6989700043360187</v>
      </c>
    </row>
    <row r="62" spans="1:6" x14ac:dyDescent="0.25">
      <c r="A62" s="4">
        <v>12662</v>
      </c>
      <c r="B62" s="4" t="s">
        <v>4</v>
      </c>
      <c r="C62" s="4" t="s">
        <v>42</v>
      </c>
      <c r="D62" s="4" t="s">
        <v>41</v>
      </c>
      <c r="E62" s="3">
        <v>0</v>
      </c>
      <c r="F62" s="6">
        <f>LOG10(1.13*10^6)</f>
        <v>6.0530784434834199</v>
      </c>
    </row>
    <row r="63" spans="1:6" x14ac:dyDescent="0.25">
      <c r="A63" s="4">
        <v>12662</v>
      </c>
      <c r="B63" s="4" t="s">
        <v>4</v>
      </c>
      <c r="C63" s="4" t="s">
        <v>42</v>
      </c>
      <c r="D63" s="4" t="s">
        <v>41</v>
      </c>
      <c r="E63" s="3">
        <v>10</v>
      </c>
      <c r="F63" s="6">
        <f>LOG10(5*10^4)</f>
        <v>4.6989700043360187</v>
      </c>
    </row>
    <row r="64" spans="1:6" x14ac:dyDescent="0.25">
      <c r="A64" s="4">
        <v>12662</v>
      </c>
      <c r="B64" s="4" t="s">
        <v>4</v>
      </c>
      <c r="C64" s="4" t="s">
        <v>42</v>
      </c>
      <c r="D64" s="4" t="s">
        <v>41</v>
      </c>
      <c r="E64" s="3">
        <v>12</v>
      </c>
      <c r="F64" s="6">
        <f>LOG10(6.7*10^2)</f>
        <v>2.8260748027008264</v>
      </c>
    </row>
    <row r="65" spans="1:6" x14ac:dyDescent="0.25">
      <c r="A65" s="4">
        <v>12662</v>
      </c>
      <c r="B65" s="4" t="s">
        <v>4</v>
      </c>
      <c r="C65" s="4" t="s">
        <v>42</v>
      </c>
      <c r="D65" s="4" t="s">
        <v>41</v>
      </c>
      <c r="E65" s="3">
        <v>14</v>
      </c>
      <c r="F65" s="6">
        <f>LOG10(2*10^3)</f>
        <v>3.3010299956639813</v>
      </c>
    </row>
    <row r="66" spans="1:6" x14ac:dyDescent="0.25">
      <c r="A66" s="4">
        <v>12662</v>
      </c>
      <c r="B66" s="4" t="s">
        <v>4</v>
      </c>
      <c r="C66" s="4" t="s">
        <v>42</v>
      </c>
      <c r="D66" s="4" t="s">
        <v>41</v>
      </c>
      <c r="E66" s="3">
        <v>16</v>
      </c>
      <c r="F66" s="6">
        <f>LOG10(5.5*10^2)</f>
        <v>2.7403626894942437</v>
      </c>
    </row>
    <row r="67" spans="1:6" x14ac:dyDescent="0.25">
      <c r="A67" s="4">
        <v>12662</v>
      </c>
      <c r="B67" s="4" t="s">
        <v>4</v>
      </c>
      <c r="C67" s="4" t="s">
        <v>42</v>
      </c>
      <c r="D67" s="4" t="s">
        <v>41</v>
      </c>
      <c r="E67" s="3">
        <v>18</v>
      </c>
      <c r="F67" s="6">
        <f>LOG10(5.15*10^3)</f>
        <v>3.7118072290411912</v>
      </c>
    </row>
    <row r="68" spans="1:6" x14ac:dyDescent="0.25">
      <c r="A68" s="4">
        <v>12662</v>
      </c>
      <c r="B68" s="4" t="s">
        <v>4</v>
      </c>
      <c r="C68" s="4" t="s">
        <v>42</v>
      </c>
      <c r="D68" s="4" t="s">
        <v>41</v>
      </c>
      <c r="E68" s="3">
        <v>20</v>
      </c>
      <c r="F68" s="6">
        <f>LOG10(1.85*10^2)</f>
        <v>2.2671717284030137</v>
      </c>
    </row>
    <row r="69" spans="1:6" x14ac:dyDescent="0.25">
      <c r="A69" s="4">
        <v>12662</v>
      </c>
      <c r="B69" s="4" t="s">
        <v>4</v>
      </c>
      <c r="C69" s="4" t="s">
        <v>42</v>
      </c>
      <c r="D69" s="4" t="s">
        <v>41</v>
      </c>
      <c r="E69" s="3">
        <v>22</v>
      </c>
      <c r="F69" s="6">
        <f>LOG10(4*10^2)</f>
        <v>2.6020599913279625</v>
      </c>
    </row>
    <row r="70" spans="1:6" x14ac:dyDescent="0.25">
      <c r="A70" s="4">
        <v>12662</v>
      </c>
      <c r="B70" s="4" t="s">
        <v>5</v>
      </c>
      <c r="C70" s="4" t="s">
        <v>42</v>
      </c>
      <c r="D70" s="4" t="s">
        <v>41</v>
      </c>
      <c r="E70" s="3">
        <v>0</v>
      </c>
      <c r="F70" s="6">
        <f>LOG10(7*10^5)</f>
        <v>5.8450980400142569</v>
      </c>
    </row>
    <row r="71" spans="1:6" x14ac:dyDescent="0.25">
      <c r="A71" s="4">
        <v>12662</v>
      </c>
      <c r="B71" s="4" t="s">
        <v>5</v>
      </c>
      <c r="C71" s="4" t="s">
        <v>42</v>
      </c>
      <c r="D71" s="4" t="s">
        <v>41</v>
      </c>
      <c r="E71" s="3">
        <v>10</v>
      </c>
      <c r="F71" s="6">
        <f>LOG10(1.5*10^4)</f>
        <v>4.1760912590556813</v>
      </c>
    </row>
    <row r="72" spans="1:6" x14ac:dyDescent="0.25">
      <c r="A72" s="4">
        <v>12662</v>
      </c>
      <c r="B72" s="4" t="s">
        <v>5</v>
      </c>
      <c r="C72" s="4" t="s">
        <v>42</v>
      </c>
      <c r="D72" s="4" t="s">
        <v>41</v>
      </c>
      <c r="E72" s="3">
        <v>12</v>
      </c>
      <c r="F72" s="6">
        <f>LOG10(3.3*10^3)</f>
        <v>3.5185139398778875</v>
      </c>
    </row>
    <row r="73" spans="1:6" x14ac:dyDescent="0.25">
      <c r="A73" s="4">
        <v>12662</v>
      </c>
      <c r="B73" s="4" t="s">
        <v>5</v>
      </c>
      <c r="C73" s="4" t="s">
        <v>42</v>
      </c>
      <c r="D73" s="4" t="s">
        <v>41</v>
      </c>
      <c r="E73" s="3">
        <v>14</v>
      </c>
      <c r="F73" s="6">
        <f>LOG10(0.85*10^3)</f>
        <v>2.9294189257142929</v>
      </c>
    </row>
    <row r="74" spans="1:6" x14ac:dyDescent="0.25">
      <c r="A74" s="4">
        <v>12662</v>
      </c>
      <c r="B74" s="4" t="s">
        <v>5</v>
      </c>
      <c r="C74" s="4" t="s">
        <v>42</v>
      </c>
      <c r="D74" s="4" t="s">
        <v>41</v>
      </c>
      <c r="E74" s="3">
        <v>16</v>
      </c>
      <c r="F74" s="6">
        <f>LOG10(4.85*10^2)</f>
        <v>2.6857417386022635</v>
      </c>
    </row>
    <row r="75" spans="1:6" x14ac:dyDescent="0.25">
      <c r="A75" s="4">
        <v>12662</v>
      </c>
      <c r="B75" s="4" t="s">
        <v>5</v>
      </c>
      <c r="C75" s="4" t="s">
        <v>42</v>
      </c>
      <c r="D75" s="4" t="s">
        <v>41</v>
      </c>
      <c r="E75" s="3">
        <v>18</v>
      </c>
      <c r="F75" s="6">
        <f>LOG10(3.85*10^2)</f>
        <v>2.5854607295085006</v>
      </c>
    </row>
    <row r="76" spans="1:6" x14ac:dyDescent="0.25">
      <c r="A76" s="4">
        <v>12662</v>
      </c>
      <c r="B76" s="4" t="s">
        <v>5</v>
      </c>
      <c r="C76" s="4" t="s">
        <v>42</v>
      </c>
      <c r="D76" s="4" t="s">
        <v>41</v>
      </c>
      <c r="E76" s="3">
        <v>20</v>
      </c>
      <c r="F76" s="6">
        <f>LOG10(1.35*10^2)</f>
        <v>2.1303337684950061</v>
      </c>
    </row>
    <row r="77" spans="1:6" x14ac:dyDescent="0.25">
      <c r="A77" s="4">
        <v>12662</v>
      </c>
      <c r="B77" s="4" t="s">
        <v>5</v>
      </c>
      <c r="C77" s="4" t="s">
        <v>42</v>
      </c>
      <c r="D77" s="4" t="s">
        <v>41</v>
      </c>
      <c r="E77" s="3">
        <v>22</v>
      </c>
      <c r="F77" s="6">
        <f>LOG10(0.35*10^2)</f>
        <v>1.5440680443502757</v>
      </c>
    </row>
    <row r="78" spans="1:6" x14ac:dyDescent="0.25">
      <c r="A78" s="4">
        <v>13126</v>
      </c>
      <c r="B78" s="4" t="s">
        <v>3</v>
      </c>
      <c r="C78" s="4" t="s">
        <v>43</v>
      </c>
      <c r="D78" s="4" t="s">
        <v>41</v>
      </c>
      <c r="E78" s="3">
        <v>0</v>
      </c>
      <c r="F78" s="6">
        <f>LOG10(5.7*10^5)</f>
        <v>5.7558748556724915</v>
      </c>
    </row>
    <row r="79" spans="1:6" x14ac:dyDescent="0.25">
      <c r="A79" s="4">
        <v>13126</v>
      </c>
      <c r="B79" s="4" t="s">
        <v>3</v>
      </c>
      <c r="C79" s="4" t="s">
        <v>43</v>
      </c>
      <c r="D79" s="4" t="s">
        <v>41</v>
      </c>
      <c r="E79" s="3">
        <v>10</v>
      </c>
      <c r="F79" s="6">
        <f>LOG10(1.3*10^3)</f>
        <v>3.1139433523068369</v>
      </c>
    </row>
    <row r="80" spans="1:6" x14ac:dyDescent="0.25">
      <c r="A80" s="4">
        <v>13126</v>
      </c>
      <c r="B80" s="4" t="s">
        <v>3</v>
      </c>
      <c r="C80" s="4" t="s">
        <v>43</v>
      </c>
      <c r="D80" s="4" t="s">
        <v>41</v>
      </c>
      <c r="E80" s="3">
        <v>12</v>
      </c>
      <c r="F80" s="6">
        <f>LOG10(6*10^2)</f>
        <v>2.7781512503836434</v>
      </c>
    </row>
    <row r="81" spans="1:6" x14ac:dyDescent="0.25">
      <c r="A81" s="4">
        <v>13126</v>
      </c>
      <c r="B81" s="4" t="s">
        <v>3</v>
      </c>
      <c r="C81" s="4" t="s">
        <v>43</v>
      </c>
      <c r="D81" s="4" t="s">
        <v>41</v>
      </c>
      <c r="E81" s="3">
        <v>14</v>
      </c>
      <c r="F81" s="6">
        <f>LOG10(1.5*10^2)</f>
        <v>2.1760912590556813</v>
      </c>
    </row>
    <row r="82" spans="1:6" x14ac:dyDescent="0.25">
      <c r="A82" s="4">
        <v>13126</v>
      </c>
      <c r="B82" s="4" t="s">
        <v>3</v>
      </c>
      <c r="C82" s="4" t="s">
        <v>43</v>
      </c>
      <c r="D82" s="4" t="s">
        <v>41</v>
      </c>
      <c r="E82" s="3">
        <v>16</v>
      </c>
      <c r="F82" s="6">
        <f>LOG10(3.5*10^2)</f>
        <v>2.5440680443502757</v>
      </c>
    </row>
    <row r="83" spans="1:6" x14ac:dyDescent="0.25">
      <c r="A83" s="4">
        <v>13126</v>
      </c>
      <c r="B83" s="4" t="s">
        <v>3</v>
      </c>
      <c r="C83" s="4" t="s">
        <v>43</v>
      </c>
      <c r="D83" s="4" t="s">
        <v>41</v>
      </c>
      <c r="E83" s="3">
        <v>18</v>
      </c>
      <c r="F83" s="6">
        <f>LOG10(0.65*10^2)</f>
        <v>1.8129133566428555</v>
      </c>
    </row>
    <row r="84" spans="1:6" x14ac:dyDescent="0.25">
      <c r="A84" s="4">
        <v>13126</v>
      </c>
      <c r="B84" s="4" t="s">
        <v>3</v>
      </c>
      <c r="C84" s="4" t="s">
        <v>43</v>
      </c>
      <c r="D84" s="4" t="s">
        <v>41</v>
      </c>
      <c r="E84" s="3">
        <v>24</v>
      </c>
      <c r="F84" s="6">
        <f>LOG10(0.35*10^2)</f>
        <v>1.5440680443502757</v>
      </c>
    </row>
    <row r="85" spans="1:6" x14ac:dyDescent="0.25">
      <c r="A85" s="4">
        <v>13126</v>
      </c>
      <c r="B85" s="4" t="s">
        <v>4</v>
      </c>
      <c r="C85" s="4" t="s">
        <v>43</v>
      </c>
      <c r="D85" s="4" t="s">
        <v>41</v>
      </c>
      <c r="E85" s="3">
        <v>10</v>
      </c>
      <c r="F85" s="6">
        <f>LOG10(2*10^5)</f>
        <v>5.3010299956639813</v>
      </c>
    </row>
    <row r="86" spans="1:6" x14ac:dyDescent="0.25">
      <c r="A86" s="4">
        <v>13126</v>
      </c>
      <c r="B86" s="4" t="s">
        <v>4</v>
      </c>
      <c r="C86" s="4" t="s">
        <v>43</v>
      </c>
      <c r="D86" s="4" t="s">
        <v>41</v>
      </c>
      <c r="E86" s="3">
        <v>12</v>
      </c>
      <c r="F86" s="6">
        <f>LOG10(1.37*10^5)</f>
        <v>5.1367205671564067</v>
      </c>
    </row>
    <row r="87" spans="1:6" x14ac:dyDescent="0.25">
      <c r="A87" s="4">
        <v>13126</v>
      </c>
      <c r="B87" s="4" t="s">
        <v>4</v>
      </c>
      <c r="C87" s="4" t="s">
        <v>43</v>
      </c>
      <c r="D87" s="4" t="s">
        <v>41</v>
      </c>
      <c r="E87" s="3">
        <v>14</v>
      </c>
      <c r="F87" s="6">
        <f>LOG10(2.3*10^2)</f>
        <v>2.3617278360175926</v>
      </c>
    </row>
    <row r="88" spans="1:6" x14ac:dyDescent="0.25">
      <c r="A88" s="4">
        <v>13126</v>
      </c>
      <c r="B88" s="4" t="s">
        <v>4</v>
      </c>
      <c r="C88" s="4" t="s">
        <v>43</v>
      </c>
      <c r="D88" s="4" t="s">
        <v>41</v>
      </c>
      <c r="E88" s="3">
        <v>16</v>
      </c>
      <c r="F88" s="6">
        <f>LOG10(2.15*10^2)</f>
        <v>2.3324384599156054</v>
      </c>
    </row>
    <row r="89" spans="1:6" x14ac:dyDescent="0.25">
      <c r="A89" s="4">
        <v>13126</v>
      </c>
      <c r="B89" s="4" t="s">
        <v>4</v>
      </c>
      <c r="C89" s="4" t="s">
        <v>43</v>
      </c>
      <c r="D89" s="4" t="s">
        <v>41</v>
      </c>
      <c r="E89" s="3">
        <v>18</v>
      </c>
      <c r="F89" s="6">
        <f>LOG10(0.65*10^2)</f>
        <v>1.8129133566428555</v>
      </c>
    </row>
    <row r="90" spans="1:6" x14ac:dyDescent="0.25">
      <c r="A90" s="4">
        <v>13126</v>
      </c>
      <c r="B90" s="4" t="s">
        <v>5</v>
      </c>
      <c r="C90" s="4" t="s">
        <v>43</v>
      </c>
      <c r="D90" s="4" t="s">
        <v>41</v>
      </c>
      <c r="E90" s="3">
        <v>10</v>
      </c>
      <c r="F90" s="6">
        <f>LOG10(5.7*10^5)</f>
        <v>5.7558748556724915</v>
      </c>
    </row>
    <row r="91" spans="1:6" x14ac:dyDescent="0.25">
      <c r="A91" s="4">
        <v>13126</v>
      </c>
      <c r="B91" s="4" t="s">
        <v>5</v>
      </c>
      <c r="C91" s="4" t="s">
        <v>43</v>
      </c>
      <c r="D91" s="4" t="s">
        <v>41</v>
      </c>
      <c r="E91" s="3">
        <v>12</v>
      </c>
      <c r="F91" s="6">
        <f>LOG10(1.13*10^5)</f>
        <v>5.0530784434834199</v>
      </c>
    </row>
    <row r="92" spans="1:6" x14ac:dyDescent="0.25">
      <c r="A92" s="4">
        <v>13126</v>
      </c>
      <c r="B92" s="4" t="s">
        <v>5</v>
      </c>
      <c r="C92" s="4" t="s">
        <v>43</v>
      </c>
      <c r="D92" s="4" t="s">
        <v>41</v>
      </c>
      <c r="E92" s="3">
        <v>14</v>
      </c>
      <c r="F92" s="6">
        <f>LOG10(0.7*10^2)</f>
        <v>1.8450980400142569</v>
      </c>
    </row>
    <row r="93" spans="1:6" x14ac:dyDescent="0.25">
      <c r="A93" s="4">
        <v>13126</v>
      </c>
      <c r="B93" s="4" t="s">
        <v>5</v>
      </c>
      <c r="C93" s="4" t="s">
        <v>43</v>
      </c>
      <c r="D93" s="4" t="s">
        <v>41</v>
      </c>
      <c r="E93" s="3">
        <v>18</v>
      </c>
      <c r="F93" s="6">
        <f>LOG10(2.35*10^2)</f>
        <v>2.3710678622717363</v>
      </c>
    </row>
    <row r="94" spans="1:6" x14ac:dyDescent="0.25">
      <c r="A94" s="4">
        <v>13136</v>
      </c>
      <c r="B94" s="4" t="s">
        <v>3</v>
      </c>
      <c r="C94" s="4" t="s">
        <v>43</v>
      </c>
      <c r="D94" s="4" t="s">
        <v>41</v>
      </c>
      <c r="E94" s="3">
        <v>0</v>
      </c>
      <c r="F94" s="6">
        <f>LOG10(5.5*10^5)</f>
        <v>5.7403626894942441</v>
      </c>
    </row>
    <row r="95" spans="1:6" x14ac:dyDescent="0.25">
      <c r="A95" s="4">
        <v>13136</v>
      </c>
      <c r="B95" s="4" t="s">
        <v>3</v>
      </c>
      <c r="C95" s="4" t="s">
        <v>43</v>
      </c>
      <c r="D95" s="4" t="s">
        <v>41</v>
      </c>
      <c r="E95" s="3">
        <v>10</v>
      </c>
      <c r="F95" s="6">
        <f>LOG10(1.23*10^3)</f>
        <v>3.0899051114393981</v>
      </c>
    </row>
    <row r="96" spans="1:6" x14ac:dyDescent="0.25">
      <c r="A96" s="4">
        <v>13136</v>
      </c>
      <c r="B96" s="4" t="s">
        <v>3</v>
      </c>
      <c r="C96" s="4" t="s">
        <v>43</v>
      </c>
      <c r="D96" s="4" t="s">
        <v>41</v>
      </c>
      <c r="E96" s="3">
        <v>12</v>
      </c>
      <c r="F96" s="6">
        <f>LOG10(8.7*10^2)</f>
        <v>2.9395192526186187</v>
      </c>
    </row>
    <row r="97" spans="1:6" x14ac:dyDescent="0.25">
      <c r="A97" s="4">
        <v>13136</v>
      </c>
      <c r="B97" s="4" t="s">
        <v>3</v>
      </c>
      <c r="C97" s="4" t="s">
        <v>43</v>
      </c>
      <c r="D97" s="4" t="s">
        <v>41</v>
      </c>
      <c r="E97" s="3">
        <v>14</v>
      </c>
      <c r="F97" s="6">
        <f>LOG10(4*10^2)</f>
        <v>2.6020599913279625</v>
      </c>
    </row>
    <row r="98" spans="1:6" x14ac:dyDescent="0.25">
      <c r="A98" s="4">
        <v>13136</v>
      </c>
      <c r="B98" s="4" t="s">
        <v>3</v>
      </c>
      <c r="C98" s="4" t="s">
        <v>43</v>
      </c>
      <c r="D98" s="4" t="s">
        <v>41</v>
      </c>
      <c r="E98" s="3">
        <v>16</v>
      </c>
      <c r="F98" s="6">
        <f>LOG10(0.65*10^2)</f>
        <v>1.8129133566428555</v>
      </c>
    </row>
    <row r="99" spans="1:6" x14ac:dyDescent="0.25">
      <c r="A99" s="4">
        <v>13136</v>
      </c>
      <c r="B99" s="4" t="s">
        <v>3</v>
      </c>
      <c r="C99" s="4" t="s">
        <v>43</v>
      </c>
      <c r="D99" s="4" t="s">
        <v>41</v>
      </c>
      <c r="E99" s="3">
        <v>18</v>
      </c>
      <c r="F99" s="6">
        <f>LOG10(3.15*10^2)</f>
        <v>2.4983105537896004</v>
      </c>
    </row>
    <row r="100" spans="1:6" x14ac:dyDescent="0.25">
      <c r="A100" s="4">
        <v>13136</v>
      </c>
      <c r="B100" s="4" t="s">
        <v>3</v>
      </c>
      <c r="C100" s="4" t="s">
        <v>43</v>
      </c>
      <c r="D100" s="4" t="s">
        <v>41</v>
      </c>
      <c r="E100" s="3">
        <v>20</v>
      </c>
      <c r="F100" s="6">
        <f>LOG10(2.5*10^2)</f>
        <v>2.3979400086720375</v>
      </c>
    </row>
    <row r="101" spans="1:6" x14ac:dyDescent="0.25">
      <c r="A101" s="4">
        <v>13136</v>
      </c>
      <c r="B101" s="4" t="s">
        <v>3</v>
      </c>
      <c r="C101" s="4" t="s">
        <v>43</v>
      </c>
      <c r="D101" s="4" t="s">
        <v>41</v>
      </c>
      <c r="E101" s="3">
        <v>22</v>
      </c>
      <c r="F101" s="6">
        <f>LOG10(1.85*10^2)</f>
        <v>2.2671717284030137</v>
      </c>
    </row>
    <row r="102" spans="1:6" x14ac:dyDescent="0.25">
      <c r="A102" s="4">
        <v>13136</v>
      </c>
      <c r="B102" s="4" t="s">
        <v>3</v>
      </c>
      <c r="C102" s="4" t="s">
        <v>43</v>
      </c>
      <c r="D102" s="4" t="s">
        <v>41</v>
      </c>
      <c r="E102" s="3">
        <v>26</v>
      </c>
      <c r="F102" s="6">
        <f>LOG10(0.3*10^2)</f>
        <v>1.4771212547196624</v>
      </c>
    </row>
    <row r="103" spans="1:6" x14ac:dyDescent="0.25">
      <c r="A103" s="4">
        <v>13136</v>
      </c>
      <c r="B103" s="4" t="s">
        <v>4</v>
      </c>
      <c r="C103" s="4" t="s">
        <v>43</v>
      </c>
      <c r="D103" s="4" t="s">
        <v>41</v>
      </c>
      <c r="E103" s="3">
        <v>0</v>
      </c>
      <c r="F103" s="6">
        <f>LOG10(1.37*10^5)</f>
        <v>5.1367205671564067</v>
      </c>
    </row>
    <row r="104" spans="1:6" x14ac:dyDescent="0.25">
      <c r="A104" s="4">
        <v>13136</v>
      </c>
      <c r="B104" s="4" t="s">
        <v>4</v>
      </c>
      <c r="C104" s="4" t="s">
        <v>43</v>
      </c>
      <c r="D104" s="4" t="s">
        <v>41</v>
      </c>
      <c r="E104" s="3">
        <v>10</v>
      </c>
      <c r="F104" s="6">
        <f>LOG10(9*10^4)</f>
        <v>4.9542425094393252</v>
      </c>
    </row>
    <row r="105" spans="1:6" x14ac:dyDescent="0.25">
      <c r="A105" s="4">
        <v>13136</v>
      </c>
      <c r="B105" s="4" t="s">
        <v>4</v>
      </c>
      <c r="C105" s="4" t="s">
        <v>43</v>
      </c>
      <c r="D105" s="4" t="s">
        <v>41</v>
      </c>
      <c r="E105" s="3">
        <v>12</v>
      </c>
      <c r="F105" s="6">
        <f>LOG10(8.7*10^2)</f>
        <v>2.9395192526186187</v>
      </c>
    </row>
    <row r="106" spans="1:6" x14ac:dyDescent="0.25">
      <c r="A106" s="4">
        <v>13136</v>
      </c>
      <c r="B106" s="4" t="s">
        <v>4</v>
      </c>
      <c r="C106" s="4" t="s">
        <v>43</v>
      </c>
      <c r="D106" s="4" t="s">
        <v>41</v>
      </c>
      <c r="E106" s="3">
        <v>14</v>
      </c>
      <c r="F106" s="6">
        <f>LOG10(0.15*10^2)</f>
        <v>1.1760912590556813</v>
      </c>
    </row>
    <row r="107" spans="1:6" x14ac:dyDescent="0.25">
      <c r="A107" s="4">
        <v>13136</v>
      </c>
      <c r="B107" s="4" t="s">
        <v>4</v>
      </c>
      <c r="C107" s="4" t="s">
        <v>43</v>
      </c>
      <c r="D107" s="4" t="s">
        <v>41</v>
      </c>
      <c r="E107" s="3">
        <v>16</v>
      </c>
      <c r="F107" s="6">
        <f>LOG10(0.15*10^2)</f>
        <v>1.1760912590556813</v>
      </c>
    </row>
    <row r="108" spans="1:6" x14ac:dyDescent="0.25">
      <c r="A108" s="4">
        <v>13136</v>
      </c>
      <c r="B108" s="4" t="s">
        <v>4</v>
      </c>
      <c r="C108" s="4" t="s">
        <v>43</v>
      </c>
      <c r="D108" s="4" t="s">
        <v>41</v>
      </c>
      <c r="E108" s="3">
        <v>18</v>
      </c>
      <c r="F108" s="6">
        <f>LOG10(0.35*10^2)</f>
        <v>1.5440680443502757</v>
      </c>
    </row>
    <row r="109" spans="1:6" x14ac:dyDescent="0.25">
      <c r="A109" s="4">
        <v>13136</v>
      </c>
      <c r="B109" s="4" t="s">
        <v>4</v>
      </c>
      <c r="C109" s="4" t="s">
        <v>43</v>
      </c>
      <c r="D109" s="4" t="s">
        <v>41</v>
      </c>
      <c r="E109" s="3">
        <v>26</v>
      </c>
      <c r="F109" s="6">
        <f>LOG10(0.85*10^2)</f>
        <v>1.9294189257142926</v>
      </c>
    </row>
    <row r="110" spans="1:6" x14ac:dyDescent="0.25">
      <c r="A110" s="4">
        <v>13136</v>
      </c>
      <c r="B110" s="4" t="s">
        <v>5</v>
      </c>
      <c r="C110" s="4" t="s">
        <v>43</v>
      </c>
      <c r="D110" s="4" t="s">
        <v>41</v>
      </c>
      <c r="E110" s="3">
        <v>0</v>
      </c>
      <c r="F110" s="6">
        <f>LOG10(1.2*10^5)</f>
        <v>5.0791812460476251</v>
      </c>
    </row>
    <row r="111" spans="1:6" x14ac:dyDescent="0.25">
      <c r="A111" s="4">
        <v>13136</v>
      </c>
      <c r="B111" s="4" t="s">
        <v>5</v>
      </c>
      <c r="C111" s="4" t="s">
        <v>43</v>
      </c>
      <c r="D111" s="4" t="s">
        <v>41</v>
      </c>
      <c r="E111" s="3">
        <v>10</v>
      </c>
      <c r="F111" s="6">
        <f>LOG10(3*10^4)</f>
        <v>4.4771212547196626</v>
      </c>
    </row>
    <row r="112" spans="1:6" x14ac:dyDescent="0.25">
      <c r="A112" s="4">
        <v>13136</v>
      </c>
      <c r="B112" s="4" t="s">
        <v>5</v>
      </c>
      <c r="C112" s="4" t="s">
        <v>43</v>
      </c>
      <c r="D112" s="4" t="s">
        <v>41</v>
      </c>
      <c r="E112" s="3">
        <v>12</v>
      </c>
      <c r="F112" s="6">
        <f>LOG10(3.3*10^3)</f>
        <v>3.5185139398778875</v>
      </c>
    </row>
    <row r="113" spans="1:6" x14ac:dyDescent="0.25">
      <c r="A113" s="4">
        <v>13136</v>
      </c>
      <c r="B113" s="4" t="s">
        <v>5</v>
      </c>
      <c r="C113" s="4" t="s">
        <v>43</v>
      </c>
      <c r="D113" s="4" t="s">
        <v>41</v>
      </c>
      <c r="E113" s="3">
        <v>18</v>
      </c>
      <c r="F113" s="6">
        <f>LOG10(0.35*10^2)</f>
        <v>1.5440680443502757</v>
      </c>
    </row>
    <row r="114" spans="1:6" x14ac:dyDescent="0.25">
      <c r="A114" s="4">
        <v>13136</v>
      </c>
      <c r="B114" s="4" t="s">
        <v>5</v>
      </c>
      <c r="C114" s="4" t="s">
        <v>43</v>
      </c>
      <c r="D114" s="4" t="s">
        <v>41</v>
      </c>
      <c r="E114" s="3">
        <v>22</v>
      </c>
      <c r="F114" s="6">
        <f>LOG10(0.15*10^2)</f>
        <v>1.1760912590556813</v>
      </c>
    </row>
    <row r="115" spans="1:6" x14ac:dyDescent="0.25">
      <c r="A115" s="4">
        <v>13136</v>
      </c>
      <c r="B115" s="4" t="s">
        <v>5</v>
      </c>
      <c r="C115" s="4" t="s">
        <v>43</v>
      </c>
      <c r="D115" s="4" t="s">
        <v>41</v>
      </c>
      <c r="E115" s="3">
        <v>26</v>
      </c>
      <c r="F115" s="6">
        <f>LOG10(0.15*10^2)</f>
        <v>1.1760912590556813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4"/>
  <sheetViews>
    <sheetView zoomScale="80" zoomScaleNormal="80" workbookViewId="0"/>
  </sheetViews>
  <sheetFormatPr defaultRowHeight="15" x14ac:dyDescent="0.25"/>
  <cols>
    <col min="1" max="1" width="9.140625" style="4" customWidth="1"/>
    <col min="2" max="2" width="9.28515625" style="4" bestFit="1" customWidth="1"/>
    <col min="3" max="3" width="11.7109375" style="4" bestFit="1" customWidth="1"/>
    <col min="4" max="4" width="12.28515625" style="4" bestFit="1" customWidth="1"/>
    <col min="5" max="5" width="9.140625" style="4"/>
    <col min="6" max="6" width="16.7109375" style="4" bestFit="1" customWidth="1"/>
    <col min="7" max="16384" width="9.140625" style="4"/>
  </cols>
  <sheetData>
    <row r="1" spans="1:6" x14ac:dyDescent="0.25">
      <c r="A1" s="4" t="s">
        <v>2</v>
      </c>
      <c r="B1" s="4" t="s">
        <v>6</v>
      </c>
      <c r="C1" s="4" t="s">
        <v>44</v>
      </c>
      <c r="D1" s="4" t="s">
        <v>40</v>
      </c>
      <c r="E1" s="4" t="s">
        <v>0</v>
      </c>
      <c r="F1" s="4" t="s">
        <v>1</v>
      </c>
    </row>
    <row r="2" spans="1:6" x14ac:dyDescent="0.25">
      <c r="A2" s="4">
        <v>12662</v>
      </c>
      <c r="B2" s="4" t="s">
        <v>3</v>
      </c>
      <c r="C2" s="4" t="s">
        <v>42</v>
      </c>
      <c r="D2" s="4" t="s">
        <v>41</v>
      </c>
      <c r="E2" s="3">
        <v>0</v>
      </c>
      <c r="F2" s="6">
        <f>LOG10(5*10^5)</f>
        <v>5.6989700043360187</v>
      </c>
    </row>
    <row r="3" spans="1:6" x14ac:dyDescent="0.25">
      <c r="A3" s="4">
        <v>12662</v>
      </c>
      <c r="B3" s="4" t="s">
        <v>3</v>
      </c>
      <c r="C3" s="4" t="s">
        <v>42</v>
      </c>
      <c r="D3" s="4" t="s">
        <v>41</v>
      </c>
      <c r="E3" s="3">
        <v>10</v>
      </c>
      <c r="F3" s="6">
        <f>LOG10(1.2*10^4)</f>
        <v>4.0791812460476251</v>
      </c>
    </row>
    <row r="4" spans="1:6" x14ac:dyDescent="0.25">
      <c r="A4" s="4">
        <v>12662</v>
      </c>
      <c r="B4" s="4" t="s">
        <v>3</v>
      </c>
      <c r="C4" s="4" t="s">
        <v>42</v>
      </c>
      <c r="D4" s="4" t="s">
        <v>41</v>
      </c>
      <c r="E4" s="3">
        <v>12</v>
      </c>
      <c r="F4" s="6">
        <f>LOG10(1.3*10^2)</f>
        <v>2.1139433523068369</v>
      </c>
    </row>
    <row r="5" spans="1:6" x14ac:dyDescent="0.25">
      <c r="A5" s="4">
        <v>12662</v>
      </c>
      <c r="B5" s="4" t="s">
        <v>3</v>
      </c>
      <c r="C5" s="4" t="s">
        <v>42</v>
      </c>
      <c r="D5" s="4" t="s">
        <v>41</v>
      </c>
      <c r="E5" s="3">
        <v>14</v>
      </c>
      <c r="F5" s="6">
        <f>LOG10(2.15*10^2)</f>
        <v>2.3324384599156054</v>
      </c>
    </row>
    <row r="6" spans="1:6" x14ac:dyDescent="0.25">
      <c r="A6" s="4">
        <v>12662</v>
      </c>
      <c r="B6" s="4" t="s">
        <v>3</v>
      </c>
      <c r="C6" s="4" t="s">
        <v>42</v>
      </c>
      <c r="D6" s="4" t="s">
        <v>41</v>
      </c>
      <c r="E6" s="3">
        <v>16</v>
      </c>
      <c r="F6" s="6">
        <f>LOG10(5.35*10^3)</f>
        <v>3.7283537820212285</v>
      </c>
    </row>
    <row r="7" spans="1:6" x14ac:dyDescent="0.25">
      <c r="A7" s="4">
        <v>12662</v>
      </c>
      <c r="B7" s="4" t="s">
        <v>3</v>
      </c>
      <c r="C7" s="4" t="s">
        <v>42</v>
      </c>
      <c r="D7" s="4" t="s">
        <v>41</v>
      </c>
      <c r="E7" s="3">
        <v>18</v>
      </c>
      <c r="F7" s="6">
        <f>LOG10(4.35*10^3)</f>
        <v>3.6384892569546374</v>
      </c>
    </row>
    <row r="8" spans="1:6" x14ac:dyDescent="0.25">
      <c r="A8" s="4">
        <v>12662</v>
      </c>
      <c r="B8" s="4" t="s">
        <v>3</v>
      </c>
      <c r="C8" s="4" t="s">
        <v>42</v>
      </c>
      <c r="D8" s="4" t="s">
        <v>41</v>
      </c>
      <c r="E8" s="3">
        <v>20</v>
      </c>
      <c r="F8" s="6">
        <f>LOG10(5*10^2)</f>
        <v>2.6989700043360187</v>
      </c>
    </row>
    <row r="9" spans="1:6" x14ac:dyDescent="0.25">
      <c r="A9" s="4">
        <v>12662</v>
      </c>
      <c r="B9" s="4" t="s">
        <v>4</v>
      </c>
      <c r="C9" s="4" t="s">
        <v>42</v>
      </c>
      <c r="D9" s="4" t="s">
        <v>41</v>
      </c>
      <c r="E9" s="3">
        <v>0</v>
      </c>
      <c r="F9" s="6">
        <f>LOG10(1.13*10^6)</f>
        <v>6.0530784434834199</v>
      </c>
    </row>
    <row r="10" spans="1:6" x14ac:dyDescent="0.25">
      <c r="A10" s="4">
        <v>12662</v>
      </c>
      <c r="B10" s="4" t="s">
        <v>4</v>
      </c>
      <c r="C10" s="4" t="s">
        <v>42</v>
      </c>
      <c r="D10" s="4" t="s">
        <v>41</v>
      </c>
      <c r="E10" s="3">
        <v>10</v>
      </c>
      <c r="F10" s="6">
        <f>LOG10(5*10^4)</f>
        <v>4.6989700043360187</v>
      </c>
    </row>
    <row r="11" spans="1:6" x14ac:dyDescent="0.25">
      <c r="A11" s="4">
        <v>12662</v>
      </c>
      <c r="B11" s="4" t="s">
        <v>4</v>
      </c>
      <c r="C11" s="4" t="s">
        <v>42</v>
      </c>
      <c r="D11" s="4" t="s">
        <v>41</v>
      </c>
      <c r="E11" s="3">
        <v>12</v>
      </c>
      <c r="F11" s="6">
        <f>LOG10(6.7*10^2)</f>
        <v>2.8260748027008264</v>
      </c>
    </row>
    <row r="12" spans="1:6" x14ac:dyDescent="0.25">
      <c r="A12" s="4">
        <v>12662</v>
      </c>
      <c r="B12" s="4" t="s">
        <v>4</v>
      </c>
      <c r="C12" s="4" t="s">
        <v>42</v>
      </c>
      <c r="D12" s="4" t="s">
        <v>41</v>
      </c>
      <c r="E12" s="3">
        <v>14</v>
      </c>
      <c r="F12" s="6">
        <f>LOG10(2*10^3)</f>
        <v>3.3010299956639813</v>
      </c>
    </row>
    <row r="13" spans="1:6" x14ac:dyDescent="0.25">
      <c r="A13" s="4">
        <v>12662</v>
      </c>
      <c r="B13" s="4" t="s">
        <v>4</v>
      </c>
      <c r="C13" s="4" t="s">
        <v>42</v>
      </c>
      <c r="D13" s="4" t="s">
        <v>41</v>
      </c>
      <c r="E13" s="3">
        <v>16</v>
      </c>
      <c r="F13" s="6">
        <f>LOG10(5.5*10^2)</f>
        <v>2.7403626894942437</v>
      </c>
    </row>
    <row r="14" spans="1:6" x14ac:dyDescent="0.25">
      <c r="A14" s="4">
        <v>12662</v>
      </c>
      <c r="B14" s="4" t="s">
        <v>4</v>
      </c>
      <c r="C14" s="4" t="s">
        <v>42</v>
      </c>
      <c r="D14" s="4" t="s">
        <v>41</v>
      </c>
      <c r="E14" s="3">
        <v>18</v>
      </c>
      <c r="F14" s="6">
        <f>LOG10(5.15*10^3)</f>
        <v>3.7118072290411912</v>
      </c>
    </row>
    <row r="15" spans="1:6" x14ac:dyDescent="0.25">
      <c r="A15" s="4">
        <v>12662</v>
      </c>
      <c r="B15" s="4" t="s">
        <v>4</v>
      </c>
      <c r="C15" s="4" t="s">
        <v>42</v>
      </c>
      <c r="D15" s="4" t="s">
        <v>41</v>
      </c>
      <c r="E15" s="3">
        <v>20</v>
      </c>
      <c r="F15" s="6">
        <f>LOG10(1.85*10^2)</f>
        <v>2.2671717284030137</v>
      </c>
    </row>
    <row r="16" spans="1:6" x14ac:dyDescent="0.25">
      <c r="A16" s="4">
        <v>12662</v>
      </c>
      <c r="B16" s="4" t="s">
        <v>4</v>
      </c>
      <c r="C16" s="4" t="s">
        <v>42</v>
      </c>
      <c r="D16" s="4" t="s">
        <v>41</v>
      </c>
      <c r="E16" s="3">
        <v>22</v>
      </c>
      <c r="F16" s="6">
        <f>LOG10(4*10^2)</f>
        <v>2.6020599913279625</v>
      </c>
    </row>
    <row r="17" spans="1:6" x14ac:dyDescent="0.25">
      <c r="A17" s="4">
        <v>12662</v>
      </c>
      <c r="B17" s="4" t="s">
        <v>5</v>
      </c>
      <c r="C17" s="4" t="s">
        <v>42</v>
      </c>
      <c r="D17" s="4" t="s">
        <v>41</v>
      </c>
      <c r="E17" s="3">
        <v>0</v>
      </c>
      <c r="F17" s="6">
        <f>LOG10(7*10^5)</f>
        <v>5.8450980400142569</v>
      </c>
    </row>
    <row r="18" spans="1:6" x14ac:dyDescent="0.25">
      <c r="A18" s="4">
        <v>12662</v>
      </c>
      <c r="B18" s="4" t="s">
        <v>5</v>
      </c>
      <c r="C18" s="4" t="s">
        <v>42</v>
      </c>
      <c r="D18" s="4" t="s">
        <v>41</v>
      </c>
      <c r="E18" s="3">
        <v>10</v>
      </c>
      <c r="F18" s="6">
        <f>LOG10(1.5*10^4)</f>
        <v>4.1760912590556813</v>
      </c>
    </row>
    <row r="19" spans="1:6" x14ac:dyDescent="0.25">
      <c r="A19" s="4">
        <v>12662</v>
      </c>
      <c r="B19" s="4" t="s">
        <v>5</v>
      </c>
      <c r="C19" s="4" t="s">
        <v>42</v>
      </c>
      <c r="D19" s="4" t="s">
        <v>41</v>
      </c>
      <c r="E19" s="3">
        <v>12</v>
      </c>
      <c r="F19" s="6">
        <f>LOG10(3.3*10^3)</f>
        <v>3.5185139398778875</v>
      </c>
    </row>
    <row r="20" spans="1:6" x14ac:dyDescent="0.25">
      <c r="A20" s="4">
        <v>12662</v>
      </c>
      <c r="B20" s="4" t="s">
        <v>5</v>
      </c>
      <c r="C20" s="4" t="s">
        <v>42</v>
      </c>
      <c r="D20" s="4" t="s">
        <v>41</v>
      </c>
      <c r="E20" s="3">
        <v>14</v>
      </c>
      <c r="F20" s="6">
        <f>LOG10(0.85*10^3)</f>
        <v>2.9294189257142929</v>
      </c>
    </row>
    <row r="21" spans="1:6" x14ac:dyDescent="0.25">
      <c r="A21" s="4">
        <v>12662</v>
      </c>
      <c r="B21" s="4" t="s">
        <v>5</v>
      </c>
      <c r="C21" s="4" t="s">
        <v>42</v>
      </c>
      <c r="D21" s="4" t="s">
        <v>41</v>
      </c>
      <c r="E21" s="3">
        <v>16</v>
      </c>
      <c r="F21" s="6">
        <f>LOG10(4.85*10^2)</f>
        <v>2.6857417386022635</v>
      </c>
    </row>
    <row r="22" spans="1:6" x14ac:dyDescent="0.25">
      <c r="A22" s="4">
        <v>12662</v>
      </c>
      <c r="B22" s="4" t="s">
        <v>5</v>
      </c>
      <c r="C22" s="4" t="s">
        <v>42</v>
      </c>
      <c r="D22" s="4" t="s">
        <v>41</v>
      </c>
      <c r="E22" s="3">
        <v>18</v>
      </c>
      <c r="F22" s="6">
        <f>LOG10(3.85*10^2)</f>
        <v>2.5854607295085006</v>
      </c>
    </row>
    <row r="23" spans="1:6" x14ac:dyDescent="0.25">
      <c r="A23" s="4">
        <v>12662</v>
      </c>
      <c r="B23" s="4" t="s">
        <v>5</v>
      </c>
      <c r="C23" s="4" t="s">
        <v>42</v>
      </c>
      <c r="D23" s="4" t="s">
        <v>41</v>
      </c>
      <c r="E23" s="3">
        <v>20</v>
      </c>
      <c r="F23" s="6">
        <f>LOG10(1.35*10^2)</f>
        <v>2.1303337684950061</v>
      </c>
    </row>
    <row r="24" spans="1:6" x14ac:dyDescent="0.25">
      <c r="A24" s="4">
        <v>12662</v>
      </c>
      <c r="B24" s="4" t="s">
        <v>5</v>
      </c>
      <c r="C24" s="4" t="s">
        <v>42</v>
      </c>
      <c r="D24" s="4" t="s">
        <v>41</v>
      </c>
      <c r="E24" s="3">
        <v>22</v>
      </c>
      <c r="F24" s="6">
        <f>LOG10(0.35*10^2)</f>
        <v>1.5440680443502757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21"/>
  <sheetViews>
    <sheetView zoomScale="80" zoomScaleNormal="80" workbookViewId="0"/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1.140625" style="4" bestFit="1" customWidth="1"/>
    <col min="7" max="16384" width="9.140625" style="4"/>
  </cols>
  <sheetData>
    <row r="1" spans="1:32" ht="24" customHeight="1" x14ac:dyDescent="0.25">
      <c r="A1" s="2" t="s">
        <v>0</v>
      </c>
      <c r="B1" s="1" t="s">
        <v>7</v>
      </c>
      <c r="C1" s="1" t="s">
        <v>8</v>
      </c>
      <c r="D1" s="2" t="s">
        <v>9</v>
      </c>
      <c r="E1" s="3"/>
      <c r="F1" s="2" t="s">
        <v>11</v>
      </c>
      <c r="G1" s="2" t="s">
        <v>12</v>
      </c>
      <c r="H1" s="2" t="s">
        <v>20</v>
      </c>
      <c r="I1" s="3"/>
      <c r="J1" s="3"/>
      <c r="K1" s="3"/>
      <c r="L1" s="3"/>
      <c r="M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</row>
    <row r="2" spans="1:32" x14ac:dyDescent="0.25">
      <c r="A2" s="3">
        <v>0</v>
      </c>
      <c r="B2" s="3">
        <v>5.7558748556724915</v>
      </c>
      <c r="C2" s="3">
        <f t="shared" ref="C2:C17" si="0">LOG((10^$G$5)/(1+10^$G$2)*(10^(-1*(A2/$G$3)^$G$4+$G$2)+10^(-1*(A2/$G$6)^$G$4)))</f>
        <v>5.4931621000711157</v>
      </c>
      <c r="D2" s="3">
        <f t="shared" ref="D2:D17" si="1" xml:space="preserve"> (B2 - C2)^2</f>
        <v>6.9017991955668184E-2</v>
      </c>
      <c r="E2" s="3"/>
      <c r="F2" s="3" t="s">
        <v>18</v>
      </c>
      <c r="G2" s="6">
        <v>3.3079664466756205</v>
      </c>
      <c r="H2" s="6">
        <v>0.8491161676154495</v>
      </c>
      <c r="I2" s="3"/>
      <c r="J2" s="3"/>
      <c r="K2" s="3"/>
      <c r="L2" s="5" t="s">
        <v>21</v>
      </c>
      <c r="M2" s="6">
        <v>0.73362519794487957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</row>
    <row r="3" spans="1:32" x14ac:dyDescent="0.25">
      <c r="A3" s="3">
        <v>10</v>
      </c>
      <c r="B3" s="3">
        <v>3.1139433523068369</v>
      </c>
      <c r="C3" s="3">
        <f t="shared" si="0"/>
        <v>5.0096521550947868</v>
      </c>
      <c r="D3" s="3">
        <f t="shared" si="1"/>
        <v>3.5937118649677222</v>
      </c>
      <c r="E3" s="3"/>
      <c r="F3" s="3" t="s">
        <v>17</v>
      </c>
      <c r="G3" s="6">
        <v>11.285854251557652</v>
      </c>
      <c r="H3" s="6">
        <v>1.7342334517529252</v>
      </c>
      <c r="I3" s="3"/>
      <c r="J3" s="3"/>
      <c r="K3" s="3"/>
      <c r="L3" s="5" t="s">
        <v>24</v>
      </c>
      <c r="M3" s="6">
        <f>SQRT(M2)</f>
        <v>0.85651923384409734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x14ac:dyDescent="0.25">
      <c r="A4" s="3">
        <v>12</v>
      </c>
      <c r="B4" s="3">
        <v>2.7781512503836434</v>
      </c>
      <c r="C4" s="3">
        <f t="shared" si="0"/>
        <v>4.0536854825757196</v>
      </c>
      <c r="D4" s="3">
        <f t="shared" si="1"/>
        <v>1.6269875774938294</v>
      </c>
      <c r="E4" s="3"/>
      <c r="F4" s="3" t="s">
        <v>15</v>
      </c>
      <c r="G4" s="6">
        <v>6</v>
      </c>
      <c r="H4" s="6">
        <v>4.2915736013014847</v>
      </c>
      <c r="I4" s="3"/>
      <c r="J4" s="3"/>
      <c r="K4" s="3"/>
      <c r="L4" s="5" t="s">
        <v>22</v>
      </c>
      <c r="M4" s="6">
        <v>0.76130086942011954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</row>
    <row r="5" spans="1:32" x14ac:dyDescent="0.25">
      <c r="A5" s="3">
        <v>14</v>
      </c>
      <c r="B5" s="3">
        <v>2.1760912590556813</v>
      </c>
      <c r="C5" s="3">
        <f t="shared" si="0"/>
        <v>2.3326367418559846</v>
      </c>
      <c r="D5" s="3">
        <f t="shared" si="1"/>
        <v>2.4506488185180034E-2</v>
      </c>
      <c r="E5" s="3"/>
      <c r="F5" s="3" t="s">
        <v>13</v>
      </c>
      <c r="G5" s="6">
        <v>5.4931621000711148</v>
      </c>
      <c r="H5" s="6">
        <v>0.77598973169514829</v>
      </c>
      <c r="I5" s="3"/>
      <c r="J5" s="3"/>
      <c r="K5" s="3"/>
      <c r="L5" s="5" t="s">
        <v>23</v>
      </c>
      <c r="M5" s="6">
        <v>0.70162608677514937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</row>
    <row r="6" spans="1:32" x14ac:dyDescent="0.25">
      <c r="A6" s="3">
        <v>16</v>
      </c>
      <c r="B6" s="3">
        <v>2.5440680443502757</v>
      </c>
      <c r="C6" s="3">
        <f t="shared" si="0"/>
        <v>2.1287085305681295</v>
      </c>
      <c r="D6" s="3">
        <f t="shared" si="1"/>
        <v>0.1725235256893409</v>
      </c>
      <c r="E6" s="3"/>
      <c r="F6" s="3" t="s">
        <v>19</v>
      </c>
      <c r="G6" s="6">
        <v>25.845972693323844</v>
      </c>
      <c r="H6" s="6">
        <v>7.6779258877030543</v>
      </c>
      <c r="I6" s="3"/>
      <c r="J6" s="3"/>
      <c r="K6" s="3"/>
      <c r="L6" s="3"/>
      <c r="M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</row>
    <row r="7" spans="1:32" x14ac:dyDescent="0.25">
      <c r="A7" s="3">
        <v>18</v>
      </c>
      <c r="B7" s="3">
        <v>1.8129133566428555</v>
      </c>
      <c r="C7" s="3">
        <f t="shared" si="0"/>
        <v>2.0708840750853965</v>
      </c>
      <c r="D7" s="3">
        <f t="shared" si="1"/>
        <v>6.6548891573760788E-2</v>
      </c>
      <c r="E7" s="3"/>
      <c r="F7" s="2" t="s">
        <v>25</v>
      </c>
      <c r="G7" s="3"/>
      <c r="H7" s="3"/>
      <c r="I7" s="3"/>
      <c r="J7" s="3"/>
      <c r="K7" s="3"/>
      <c r="L7" s="3"/>
      <c r="M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</row>
    <row r="8" spans="1:32" x14ac:dyDescent="0.25">
      <c r="A8" s="3">
        <v>24</v>
      </c>
      <c r="B8" s="3">
        <v>1.5440680443502757</v>
      </c>
      <c r="C8" s="3">
        <f t="shared" si="0"/>
        <v>1.5439050474535341</v>
      </c>
      <c r="D8" s="3">
        <f t="shared" si="1"/>
        <v>2.6567988347390585E-8</v>
      </c>
      <c r="E8" s="3"/>
      <c r="F8" s="3" t="s">
        <v>26</v>
      </c>
      <c r="G8" s="3"/>
      <c r="H8" s="3"/>
      <c r="I8" s="3"/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</row>
    <row r="9" spans="1:32" x14ac:dyDescent="0.25">
      <c r="A9" s="3">
        <v>10</v>
      </c>
      <c r="B9" s="3">
        <v>5.3010299956639813</v>
      </c>
      <c r="C9" s="3">
        <f t="shared" si="0"/>
        <v>5.0096521550947868</v>
      </c>
      <c r="D9" s="3">
        <f t="shared" si="1"/>
        <v>8.4901045974766914E-2</v>
      </c>
      <c r="E9" s="3"/>
      <c r="F9" s="2" t="s">
        <v>27</v>
      </c>
      <c r="G9" s="3"/>
      <c r="H9" s="3"/>
      <c r="I9" s="3"/>
      <c r="J9" s="3"/>
      <c r="K9" s="3"/>
      <c r="L9" s="3"/>
      <c r="M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</row>
    <row r="10" spans="1:32" x14ac:dyDescent="0.25">
      <c r="A10" s="3">
        <v>12</v>
      </c>
      <c r="B10" s="3">
        <v>5.1367205671564067</v>
      </c>
      <c r="C10" s="3">
        <f t="shared" si="0"/>
        <v>4.0536854825757196</v>
      </c>
      <c r="D10" s="3">
        <f t="shared" si="1"/>
        <v>1.1729649944326961</v>
      </c>
      <c r="E10" s="3"/>
      <c r="F10" s="3" t="s">
        <v>28</v>
      </c>
      <c r="G10" s="3"/>
      <c r="H10" s="3"/>
      <c r="I10" s="3"/>
      <c r="J10" s="3"/>
      <c r="K10" s="3"/>
      <c r="L10" s="3"/>
      <c r="M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</row>
    <row r="11" spans="1:32" x14ac:dyDescent="0.25">
      <c r="A11" s="3">
        <v>14</v>
      </c>
      <c r="B11" s="3">
        <v>2.3617278360175926</v>
      </c>
      <c r="C11" s="3">
        <f t="shared" si="0"/>
        <v>2.3326367418559846</v>
      </c>
      <c r="D11" s="3">
        <f t="shared" si="1"/>
        <v>8.4629175951954566E-4</v>
      </c>
      <c r="E11" s="3"/>
      <c r="F11" s="2" t="s">
        <v>29</v>
      </c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</row>
    <row r="12" spans="1:32" x14ac:dyDescent="0.25">
      <c r="A12" s="3">
        <v>16</v>
      </c>
      <c r="B12" s="3">
        <v>2.3324384599156054</v>
      </c>
      <c r="C12" s="3">
        <f t="shared" si="0"/>
        <v>2.1287085305681295</v>
      </c>
      <c r="D12" s="3">
        <f t="shared" si="1"/>
        <v>4.150588411192753E-2</v>
      </c>
      <c r="E12" s="3"/>
      <c r="F12" s="11" t="s">
        <v>30</v>
      </c>
      <c r="G12" s="12"/>
      <c r="H12" s="12"/>
      <c r="I12" s="12"/>
      <c r="J12" s="12"/>
      <c r="K12" s="12"/>
      <c r="L12" s="12"/>
      <c r="M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</row>
    <row r="13" spans="1:32" x14ac:dyDescent="0.25">
      <c r="A13" s="3">
        <v>18</v>
      </c>
      <c r="B13" s="3">
        <v>1.8129133566428555</v>
      </c>
      <c r="C13" s="3">
        <f t="shared" si="0"/>
        <v>2.0708840750853965</v>
      </c>
      <c r="D13" s="3">
        <f t="shared" si="1"/>
        <v>6.6548891573760788E-2</v>
      </c>
      <c r="E13" s="3"/>
      <c r="F13" s="12"/>
      <c r="G13" s="12"/>
      <c r="H13" s="12"/>
      <c r="I13" s="12"/>
      <c r="J13" s="12"/>
      <c r="K13" s="12"/>
      <c r="L13" s="12"/>
      <c r="M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</row>
    <row r="14" spans="1:32" x14ac:dyDescent="0.25">
      <c r="A14" s="3">
        <v>10</v>
      </c>
      <c r="B14" s="3">
        <v>5.7558748556724915</v>
      </c>
      <c r="C14" s="3">
        <f t="shared" si="0"/>
        <v>5.0096521550947868</v>
      </c>
      <c r="D14" s="3">
        <f t="shared" si="1"/>
        <v>0.55684831885748265</v>
      </c>
      <c r="E14" s="3"/>
      <c r="F14" s="12"/>
      <c r="G14" s="12"/>
      <c r="H14" s="12"/>
      <c r="I14" s="12"/>
      <c r="J14" s="12"/>
      <c r="K14" s="12"/>
      <c r="L14" s="12"/>
      <c r="M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</row>
    <row r="15" spans="1:32" x14ac:dyDescent="0.25">
      <c r="A15" s="3">
        <v>12</v>
      </c>
      <c r="B15" s="3">
        <v>5.0530784434834199</v>
      </c>
      <c r="C15" s="3">
        <f t="shared" si="0"/>
        <v>4.0536854825757196</v>
      </c>
      <c r="D15" s="3">
        <f t="shared" si="1"/>
        <v>0.99878629031186028</v>
      </c>
      <c r="E15" s="3"/>
      <c r="F15" s="3"/>
      <c r="G15" s="3"/>
      <c r="H15" s="3"/>
      <c r="I15" s="3"/>
      <c r="J15" s="3"/>
      <c r="K15" s="3"/>
      <c r="L15" s="3"/>
      <c r="M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</row>
    <row r="16" spans="1:32" x14ac:dyDescent="0.25">
      <c r="A16" s="3">
        <v>14</v>
      </c>
      <c r="B16" s="3">
        <v>1.8450980400142569</v>
      </c>
      <c r="C16" s="3">
        <f t="shared" si="0"/>
        <v>2.3326367418559846</v>
      </c>
      <c r="D16" s="3">
        <f t="shared" si="1"/>
        <v>0.23769398579351703</v>
      </c>
      <c r="E16" s="3"/>
      <c r="F16" s="3"/>
      <c r="G16" s="3"/>
      <c r="H16" s="3"/>
      <c r="I16" s="3"/>
      <c r="J16" s="3"/>
      <c r="K16" s="3"/>
      <c r="L16" s="3"/>
      <c r="M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</row>
    <row r="17" spans="1:32" x14ac:dyDescent="0.25">
      <c r="A17" s="3">
        <v>18</v>
      </c>
      <c r="B17" s="3">
        <v>2.3710678622717363</v>
      </c>
      <c r="C17" s="3">
        <f t="shared" si="0"/>
        <v>2.0708840750853965</v>
      </c>
      <c r="D17" s="3">
        <f t="shared" si="1"/>
        <v>9.0110306089533715E-2</v>
      </c>
      <c r="E17" s="3"/>
      <c r="F17" s="3"/>
      <c r="G17" s="3"/>
      <c r="H17" s="3"/>
      <c r="I17" s="3"/>
      <c r="J17" s="3"/>
      <c r="K17" s="3"/>
      <c r="L17" s="3"/>
      <c r="M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</row>
    <row r="18" spans="1:32" x14ac:dyDescent="0.25">
      <c r="A18" s="2" t="s">
        <v>10</v>
      </c>
      <c r="B18" s="3"/>
      <c r="C18" s="3"/>
      <c r="D18" s="3">
        <f>SUM(D2:D17)</f>
        <v>8.8035023753385548</v>
      </c>
      <c r="E18" s="3"/>
      <c r="F18" s="3"/>
      <c r="G18" s="3"/>
      <c r="H18" s="3"/>
      <c r="I18" s="3"/>
      <c r="J18" s="3"/>
      <c r="K18" s="3"/>
      <c r="L18" s="3"/>
      <c r="M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</row>
    <row r="19" spans="1:32" x14ac:dyDescent="0.25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x14ac:dyDescent="0.25">
      <c r="A21" s="3">
        <v>0</v>
      </c>
      <c r="B21" s="3"/>
      <c r="C21" s="3">
        <f>LOG((10^$G$5)/(1+10^$G$2)*(10^(-1*(A21/$G$3)^$G$4+$G$2)+10^(-1*(A21/$G$6)^$G$4)))</f>
        <v>5.4931621000711157</v>
      </c>
      <c r="D21" s="3"/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x14ac:dyDescent="0.25">
      <c r="A22" s="3">
        <v>0.24</v>
      </c>
      <c r="B22" s="3"/>
      <c r="C22" s="3">
        <f t="shared" ref="C22:C85" si="2">LOG((10^$G$5)/(1+10^$G$2)*(10^(-1*(A22/$G$3)^$G$4+$G$2)+10^(-1*(A22/$G$6)^$G$4)))</f>
        <v>5.4931620999786777</v>
      </c>
      <c r="D22" s="3"/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x14ac:dyDescent="0.25">
      <c r="A23" s="3">
        <v>0.48</v>
      </c>
      <c r="B23" s="3"/>
      <c r="C23" s="3">
        <f t="shared" si="2"/>
        <v>5.4931620941551094</v>
      </c>
      <c r="D23" s="3"/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x14ac:dyDescent="0.25">
      <c r="A24" s="3">
        <v>0.72</v>
      </c>
      <c r="B24" s="3"/>
      <c r="C24" s="3">
        <f t="shared" si="2"/>
        <v>5.4931620326841069</v>
      </c>
      <c r="D24" s="3"/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x14ac:dyDescent="0.25">
      <c r="A25" s="3">
        <v>0.96</v>
      </c>
      <c r="B25" s="3"/>
      <c r="C25" s="3">
        <f t="shared" si="2"/>
        <v>5.4931617214467128</v>
      </c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x14ac:dyDescent="0.25">
      <c r="A26" s="3">
        <v>1.2</v>
      </c>
      <c r="B26" s="3"/>
      <c r="C26" s="3">
        <f t="shared" si="2"/>
        <v>5.493160655733643</v>
      </c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x14ac:dyDescent="0.25">
      <c r="A27" s="3">
        <v>1.44</v>
      </c>
      <c r="B27" s="3"/>
      <c r="C27" s="3">
        <f t="shared" si="2"/>
        <v>5.4931577873025379</v>
      </c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</row>
    <row r="28" spans="1:32" x14ac:dyDescent="0.25">
      <c r="A28" s="3">
        <v>1.68</v>
      </c>
      <c r="B28" s="3"/>
      <c r="C28" s="3">
        <f t="shared" si="2"/>
        <v>5.493151224880175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x14ac:dyDescent="0.25">
      <c r="A29" s="3">
        <v>1.92</v>
      </c>
      <c r="B29" s="3"/>
      <c r="C29" s="3">
        <f t="shared" si="2"/>
        <v>5.4931378681096641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x14ac:dyDescent="0.25">
      <c r="A30" s="3">
        <v>2.16</v>
      </c>
      <c r="B30" s="3"/>
      <c r="C30" s="3">
        <f t="shared" si="2"/>
        <v>5.4931129749427638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x14ac:dyDescent="0.25">
      <c r="A31" s="3">
        <v>2.4000000000000004</v>
      </c>
      <c r="B31" s="3"/>
      <c r="C31" s="3">
        <f t="shared" si="2"/>
        <v>5.4930696624775486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x14ac:dyDescent="0.25">
      <c r="A32" s="3">
        <v>2.6400000000000006</v>
      </c>
      <c r="B32" s="3"/>
      <c r="C32" s="3">
        <f t="shared" si="2"/>
        <v>5.492998341241945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x14ac:dyDescent="0.25">
      <c r="A33" s="3">
        <v>2.8800000000000008</v>
      </c>
      <c r="B33" s="3"/>
      <c r="C33" s="3">
        <f t="shared" si="2"/>
        <v>5.4928860829240431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x14ac:dyDescent="0.25">
      <c r="A34" s="3">
        <v>3.120000000000001</v>
      </c>
      <c r="B34" s="3"/>
      <c r="C34" s="3">
        <f t="shared" si="2"/>
        <v>5.4927159215507624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x14ac:dyDescent="0.25">
      <c r="A35" s="3">
        <v>3.3600000000000012</v>
      </c>
      <c r="B35" s="3"/>
      <c r="C35" s="3">
        <f t="shared" si="2"/>
        <v>5.4924660881174443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x14ac:dyDescent="0.25">
      <c r="A36" s="3">
        <v>3.6000000000000014</v>
      </c>
      <c r="B36" s="3"/>
      <c r="C36" s="3">
        <f t="shared" si="2"/>
        <v>5.4921091786723979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x14ac:dyDescent="0.25">
      <c r="A37" s="3">
        <v>3.8400000000000016</v>
      </c>
      <c r="B37" s="3"/>
      <c r="C37" s="3">
        <f t="shared" si="2"/>
        <v>5.4916112558625372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x14ac:dyDescent="0.25">
      <c r="A38" s="3">
        <v>4.0800000000000018</v>
      </c>
      <c r="B38" s="3"/>
      <c r="C38" s="3">
        <f t="shared" si="2"/>
        <v>5.4909308839490576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x14ac:dyDescent="0.25">
      <c r="A39" s="3">
        <v>4.3200000000000021</v>
      </c>
      <c r="B39" s="3"/>
      <c r="C39" s="3">
        <f t="shared" si="2"/>
        <v>5.4900180973061321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x14ac:dyDescent="0.25">
      <c r="A40" s="3">
        <v>4.5600000000000023</v>
      </c>
      <c r="B40" s="3"/>
      <c r="C40" s="3">
        <f t="shared" si="2"/>
        <v>5.4888133024208141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x14ac:dyDescent="0.25">
      <c r="A41" s="3">
        <v>4.8000000000000025</v>
      </c>
      <c r="B41" s="3"/>
      <c r="C41" s="3">
        <f t="shared" si="2"/>
        <v>5.4872461134195101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</row>
    <row r="42" spans="1:32" x14ac:dyDescent="0.25">
      <c r="A42" s="3">
        <v>5.0400000000000027</v>
      </c>
      <c r="B42" s="3"/>
      <c r="C42" s="3">
        <f t="shared" si="2"/>
        <v>5.4852341211557212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x14ac:dyDescent="0.25">
      <c r="A43" s="3">
        <v>5.2800000000000029</v>
      </c>
      <c r="B43" s="3"/>
      <c r="C43" s="3">
        <f t="shared" si="2"/>
        <v>5.4826815959063717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x14ac:dyDescent="0.25">
      <c r="A44" s="3">
        <v>5.5200000000000031</v>
      </c>
      <c r="B44" s="3"/>
      <c r="C44" s="3">
        <f t="shared" si="2"/>
        <v>5.4794781237406536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x14ac:dyDescent="0.25">
      <c r="A45" s="3">
        <v>5.7600000000000033</v>
      </c>
      <c r="B45" s="3"/>
      <c r="C45" s="3">
        <f t="shared" si="2"/>
        <v>5.4754971766477389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x14ac:dyDescent="0.25">
      <c r="A46" s="3">
        <v>6.0000000000000036</v>
      </c>
      <c r="B46" s="3"/>
      <c r="C46" s="3">
        <f t="shared" si="2"/>
        <v>5.4705946165398922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x14ac:dyDescent="0.25">
      <c r="A47" s="3">
        <v>6.2400000000000038</v>
      </c>
      <c r="B47" s="3"/>
      <c r="C47" s="3">
        <f t="shared" si="2"/>
        <v>5.4646071332887169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x14ac:dyDescent="0.25">
      <c r="A48" s="3">
        <v>6.480000000000004</v>
      </c>
      <c r="B48" s="3"/>
      <c r="C48" s="3">
        <f t="shared" si="2"/>
        <v>5.4573506170090926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x14ac:dyDescent="0.25">
      <c r="A49" s="3">
        <v>6.7200000000000042</v>
      </c>
      <c r="B49" s="3"/>
      <c r="C49" s="3">
        <f t="shared" si="2"/>
        <v>5.4486184648846336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x14ac:dyDescent="0.25">
      <c r="A50" s="3">
        <v>6.9600000000000044</v>
      </c>
      <c r="B50" s="3"/>
      <c r="C50" s="3">
        <f t="shared" si="2"/>
        <v>5.4381798229405076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x14ac:dyDescent="0.25">
      <c r="A51" s="3">
        <v>7.2000000000000046</v>
      </c>
      <c r="B51" s="3"/>
      <c r="C51" s="3">
        <f t="shared" si="2"/>
        <v>5.425777763329692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</row>
    <row r="52" spans="1:32" x14ac:dyDescent="0.25">
      <c r="A52" s="3">
        <v>7.4400000000000048</v>
      </c>
      <c r="B52" s="3"/>
      <c r="C52" s="3">
        <f t="shared" si="2"/>
        <v>5.4111273979308745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</row>
    <row r="53" spans="1:32" x14ac:dyDescent="0.25">
      <c r="A53" s="3">
        <v>7.680000000000005</v>
      </c>
      <c r="B53" s="3"/>
      <c r="C53" s="3">
        <f t="shared" si="2"/>
        <v>5.3939139293968248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</row>
    <row r="54" spans="1:32" x14ac:dyDescent="0.25">
      <c r="A54" s="3">
        <v>7.9200000000000053</v>
      </c>
      <c r="B54" s="3"/>
      <c r="C54" s="3">
        <f t="shared" si="2"/>
        <v>5.3737906412984229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</row>
    <row r="55" spans="1:32" x14ac:dyDescent="0.25">
      <c r="A55" s="3">
        <v>8.1600000000000055</v>
      </c>
      <c r="B55" s="3"/>
      <c r="C55" s="3">
        <f t="shared" si="2"/>
        <v>5.3503768297723155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</row>
    <row r="56" spans="1:32" x14ac:dyDescent="0.25">
      <c r="A56" s="3">
        <v>8.4000000000000057</v>
      </c>
      <c r="B56" s="3"/>
      <c r="C56" s="3">
        <f t="shared" si="2"/>
        <v>5.3232556802453646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</row>
    <row r="57" spans="1:32" x14ac:dyDescent="0.25">
      <c r="A57" s="3">
        <v>8.6400000000000059</v>
      </c>
      <c r="B57" s="3"/>
      <c r="C57" s="3">
        <f t="shared" si="2"/>
        <v>5.2919720946145974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</row>
    <row r="58" spans="1:32" x14ac:dyDescent="0.25">
      <c r="A58" s="3">
        <v>8.8800000000000061</v>
      </c>
      <c r="B58" s="3"/>
      <c r="C58" s="3">
        <f t="shared" si="2"/>
        <v>5.2560304771020903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</row>
    <row r="59" spans="1:32" x14ac:dyDescent="0.25">
      <c r="A59" s="3">
        <v>9.1200000000000063</v>
      </c>
      <c r="B59" s="3"/>
      <c r="C59" s="3">
        <f t="shared" si="2"/>
        <v>5.2148924915452577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</row>
    <row r="60" spans="1:32" x14ac:dyDescent="0.25">
      <c r="A60" s="3">
        <v>9.3600000000000065</v>
      </c>
      <c r="B60" s="3"/>
      <c r="C60" s="3">
        <f t="shared" si="2"/>
        <v>5.1679748102654619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</row>
    <row r="61" spans="1:32" x14ac:dyDescent="0.25">
      <c r="A61" s="3">
        <v>9.6000000000000068</v>
      </c>
      <c r="B61" s="3"/>
      <c r="C61" s="3">
        <f t="shared" si="2"/>
        <v>5.1146468868747528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</row>
    <row r="62" spans="1:32" x14ac:dyDescent="0.25">
      <c r="A62" s="3">
        <v>9.840000000000007</v>
      </c>
      <c r="B62" s="3"/>
      <c r="C62" s="3">
        <f t="shared" si="2"/>
        <v>5.054228805981233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</row>
    <row r="63" spans="1:32" x14ac:dyDescent="0.25">
      <c r="A63" s="3">
        <v>10.080000000000007</v>
      </c>
      <c r="B63" s="3"/>
      <c r="C63" s="3">
        <f t="shared" si="2"/>
        <v>4.9859892981866247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</row>
    <row r="64" spans="1:32" x14ac:dyDescent="0.25">
      <c r="A64" s="3">
        <v>10.320000000000007</v>
      </c>
      <c r="B64" s="3"/>
      <c r="C64" s="3">
        <f t="shared" si="2"/>
        <v>4.9091440710020553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</row>
    <row r="65" spans="1:32" x14ac:dyDescent="0.25">
      <c r="A65" s="3">
        <v>10.560000000000008</v>
      </c>
      <c r="B65" s="3"/>
      <c r="C65" s="3">
        <f t="shared" si="2"/>
        <v>4.8228547180382577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</row>
    <row r="66" spans="1:32" x14ac:dyDescent="0.25">
      <c r="A66" s="3">
        <v>10.800000000000008</v>
      </c>
      <c r="B66" s="3"/>
      <c r="C66" s="3">
        <f t="shared" si="2"/>
        <v>4.7262286740983495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</row>
    <row r="67" spans="1:32" x14ac:dyDescent="0.25">
      <c r="A67" s="3">
        <v>11.040000000000008</v>
      </c>
      <c r="B67" s="3"/>
      <c r="C67" s="3">
        <f t="shared" si="2"/>
        <v>4.6183210700828168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</row>
    <row r="68" spans="1:32" x14ac:dyDescent="0.25">
      <c r="A68" s="3">
        <v>11.280000000000008</v>
      </c>
      <c r="B68" s="3"/>
      <c r="C68" s="3">
        <f t="shared" si="2"/>
        <v>4.4981400866978474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</row>
    <row r="69" spans="1:32" x14ac:dyDescent="0.25">
      <c r="A69" s="3">
        <v>11.520000000000008</v>
      </c>
      <c r="B69" s="3"/>
      <c r="C69" s="3">
        <f t="shared" si="2"/>
        <v>4.3646588794071901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</row>
    <row r="70" spans="1:32" x14ac:dyDescent="0.25">
      <c r="A70" s="3">
        <v>11.760000000000009</v>
      </c>
      <c r="B70" s="3"/>
      <c r="C70" s="3">
        <f t="shared" si="2"/>
        <v>4.2168401325012024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</row>
    <row r="71" spans="1:32" x14ac:dyDescent="0.25">
      <c r="A71" s="3">
        <v>12.000000000000009</v>
      </c>
      <c r="B71" s="3"/>
      <c r="C71" s="3">
        <f t="shared" si="2"/>
        <v>4.0536854825757143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</row>
    <row r="72" spans="1:32" x14ac:dyDescent="0.25">
      <c r="A72" s="3">
        <v>12.240000000000009</v>
      </c>
      <c r="B72" s="3"/>
      <c r="C72" s="3">
        <f t="shared" si="2"/>
        <v>3.8743350589179144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</row>
    <row r="73" spans="1:32" x14ac:dyDescent="0.25">
      <c r="A73" s="3">
        <v>12.480000000000009</v>
      </c>
      <c r="B73" s="3"/>
      <c r="C73" s="3">
        <f t="shared" si="2"/>
        <v>3.6782698184255929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</row>
    <row r="74" spans="1:32" x14ac:dyDescent="0.25">
      <c r="A74" s="3">
        <v>12.72000000000001</v>
      </c>
      <c r="B74" s="3"/>
      <c r="C74" s="3">
        <f t="shared" si="2"/>
        <v>3.4657255718805482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</row>
    <row r="75" spans="1:32" x14ac:dyDescent="0.25">
      <c r="A75" s="3">
        <v>12.96000000000001</v>
      </c>
      <c r="B75" s="3"/>
      <c r="C75" s="3">
        <f t="shared" si="2"/>
        <v>3.2385310266186633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</row>
    <row r="76" spans="1:32" x14ac:dyDescent="0.25">
      <c r="A76" s="3">
        <v>13.20000000000001</v>
      </c>
      <c r="B76" s="3"/>
      <c r="C76" s="3">
        <f t="shared" si="2"/>
        <v>3.0017093604812235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</row>
    <row r="77" spans="1:32" x14ac:dyDescent="0.25">
      <c r="A77" s="3">
        <v>13.44000000000001</v>
      </c>
      <c r="B77" s="3"/>
      <c r="C77" s="3">
        <f t="shared" si="2"/>
        <v>2.7660392150425945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</row>
    <row r="78" spans="1:32" x14ac:dyDescent="0.25">
      <c r="A78" s="3">
        <v>13.68000000000001</v>
      </c>
      <c r="B78" s="3"/>
      <c r="C78" s="3">
        <f t="shared" si="2"/>
        <v>2.5502436562241111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</row>
    <row r="79" spans="1:32" x14ac:dyDescent="0.25">
      <c r="A79" s="3">
        <v>13.920000000000011</v>
      </c>
      <c r="B79" s="3"/>
      <c r="C79" s="3">
        <f t="shared" si="2"/>
        <v>2.3775728961241565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</row>
    <row r="80" spans="1:32" x14ac:dyDescent="0.25">
      <c r="A80" s="3">
        <v>14.160000000000011</v>
      </c>
      <c r="B80" s="3"/>
      <c r="C80" s="3">
        <f t="shared" si="2"/>
        <v>2.2623139979094549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</row>
    <row r="81" spans="1:32" x14ac:dyDescent="0.25">
      <c r="A81" s="3">
        <v>14.400000000000011</v>
      </c>
      <c r="B81" s="3"/>
      <c r="C81" s="3">
        <f t="shared" si="2"/>
        <v>2.198606616220236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</row>
    <row r="82" spans="1:32" x14ac:dyDescent="0.25">
      <c r="A82" s="3">
        <v>14.640000000000011</v>
      </c>
      <c r="B82" s="3"/>
      <c r="C82" s="3">
        <f t="shared" si="2"/>
        <v>2.1680219031057164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</row>
    <row r="83" spans="1:32" x14ac:dyDescent="0.25">
      <c r="A83" s="3">
        <v>14.880000000000011</v>
      </c>
      <c r="B83" s="3"/>
      <c r="C83" s="3">
        <f t="shared" si="2"/>
        <v>2.1538953370627794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</row>
    <row r="84" spans="1:32" x14ac:dyDescent="0.25">
      <c r="A84" s="3">
        <v>15.120000000000012</v>
      </c>
      <c r="B84" s="3"/>
      <c r="C84" s="3">
        <f t="shared" si="2"/>
        <v>2.14649435950317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</row>
    <row r="85" spans="1:32" x14ac:dyDescent="0.25">
      <c r="A85" s="3">
        <v>15.360000000000012</v>
      </c>
      <c r="B85" s="3"/>
      <c r="C85" s="3">
        <f t="shared" si="2"/>
        <v>2.1413582737687924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</row>
    <row r="86" spans="1:32" x14ac:dyDescent="0.25">
      <c r="A86" s="3">
        <v>15.600000000000012</v>
      </c>
      <c r="B86" s="3"/>
      <c r="C86" s="3">
        <f t="shared" ref="C86:C121" si="3">LOG((10^$G$5)/(1+10^$G$2)*(10^(-1*(A86/$G$3)^$G$4+$G$2)+10^(-1*(A86/$G$6)^$G$4)))</f>
        <v>2.1367371829418849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</row>
    <row r="87" spans="1:32" x14ac:dyDescent="0.25">
      <c r="A87" s="3">
        <v>15.840000000000012</v>
      </c>
      <c r="B87" s="3"/>
      <c r="C87" s="3">
        <f t="shared" si="3"/>
        <v>2.132017085812715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</row>
    <row r="88" spans="1:32" x14ac:dyDescent="0.25">
      <c r="A88" s="3">
        <v>16.080000000000013</v>
      </c>
      <c r="B88" s="3"/>
      <c r="C88" s="3">
        <f t="shared" si="3"/>
        <v>2.1269955595532721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</row>
    <row r="89" spans="1:32" x14ac:dyDescent="0.25">
      <c r="A89" s="3">
        <v>16.320000000000011</v>
      </c>
      <c r="B89" s="3"/>
      <c r="C89" s="3">
        <f t="shared" si="3"/>
        <v>2.1216010688130371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</row>
    <row r="90" spans="1:32" x14ac:dyDescent="0.25">
      <c r="A90" s="3">
        <v>16.560000000000009</v>
      </c>
      <c r="B90" s="3"/>
      <c r="C90" s="3">
        <f t="shared" si="3"/>
        <v>2.1157982605801271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</row>
    <row r="91" spans="1:32" x14ac:dyDescent="0.25">
      <c r="A91" s="3">
        <v>16.800000000000008</v>
      </c>
      <c r="B91" s="3"/>
      <c r="C91" s="3">
        <f t="shared" si="3"/>
        <v>2.1095599508992859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</row>
    <row r="92" spans="1:32" x14ac:dyDescent="0.25">
      <c r="A92" s="3">
        <v>17.040000000000006</v>
      </c>
      <c r="B92" s="3"/>
      <c r="C92" s="3">
        <f t="shared" si="3"/>
        <v>2.1028598613506491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</row>
    <row r="93" spans="1:32" x14ac:dyDescent="0.25">
      <c r="A93" s="3">
        <v>17.280000000000005</v>
      </c>
      <c r="B93" s="3"/>
      <c r="C93" s="3">
        <f t="shared" si="3"/>
        <v>2.0956709604945822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</row>
    <row r="94" spans="1:32" x14ac:dyDescent="0.25">
      <c r="A94" s="3">
        <v>17.520000000000003</v>
      </c>
      <c r="B94" s="3"/>
      <c r="C94" s="3">
        <f t="shared" si="3"/>
        <v>2.0879651148906127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</row>
    <row r="95" spans="1:32" x14ac:dyDescent="0.25">
      <c r="A95" s="3">
        <v>17.760000000000002</v>
      </c>
      <c r="B95" s="3"/>
      <c r="C95" s="3">
        <f t="shared" si="3"/>
        <v>2.0797130031829654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</row>
    <row r="96" spans="1:32" x14ac:dyDescent="0.25">
      <c r="A96" s="3">
        <v>18</v>
      </c>
      <c r="B96" s="3"/>
      <c r="C96" s="3">
        <f t="shared" si="3"/>
        <v>2.0708840750853965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</row>
    <row r="97" spans="1:32" x14ac:dyDescent="0.25">
      <c r="A97" s="3">
        <v>18.239999999999998</v>
      </c>
      <c r="B97" s="3"/>
      <c r="C97" s="3">
        <f t="shared" si="3"/>
        <v>2.0614465165424902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</row>
    <row r="98" spans="1:32" x14ac:dyDescent="0.25">
      <c r="A98" s="3">
        <v>18.479999999999997</v>
      </c>
      <c r="B98" s="3"/>
      <c r="C98" s="3">
        <f t="shared" si="3"/>
        <v>2.0513672152495195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</row>
    <row r="99" spans="1:32" x14ac:dyDescent="0.25">
      <c r="A99" s="3">
        <v>18.719999999999995</v>
      </c>
      <c r="B99" s="3"/>
      <c r="C99" s="3">
        <f t="shared" si="3"/>
        <v>2.0406117257956402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</row>
    <row r="100" spans="1:32" x14ac:dyDescent="0.25">
      <c r="A100" s="3">
        <v>18.959999999999994</v>
      </c>
      <c r="B100" s="3"/>
      <c r="C100" s="3">
        <f t="shared" si="3"/>
        <v>2.0291442343528239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</row>
    <row r="101" spans="1:32" x14ac:dyDescent="0.25">
      <c r="A101" s="3">
        <v>19.199999999999992</v>
      </c>
      <c r="B101" s="3"/>
      <c r="C101" s="3">
        <f t="shared" si="3"/>
        <v>2.0169275229037291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</row>
    <row r="102" spans="1:32" x14ac:dyDescent="0.25">
      <c r="A102" s="3">
        <v>19.439999999999991</v>
      </c>
      <c r="B102" s="3"/>
      <c r="C102" s="3">
        <f t="shared" si="3"/>
        <v>2.0039229330080341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</row>
    <row r="103" spans="1:32" x14ac:dyDescent="0.25">
      <c r="A103" s="3">
        <v>19.679999999999989</v>
      </c>
      <c r="B103" s="3"/>
      <c r="C103" s="3">
        <f t="shared" si="3"/>
        <v>1.990090329107191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</row>
    <row r="104" spans="1:32" x14ac:dyDescent="0.25">
      <c r="A104" s="3">
        <v>19.919999999999987</v>
      </c>
      <c r="B104" s="3"/>
      <c r="C104" s="3">
        <f t="shared" si="3"/>
        <v>1.9753880613676038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</row>
    <row r="105" spans="1:32" x14ac:dyDescent="0.25">
      <c r="A105" s="3">
        <v>20.159999999999986</v>
      </c>
      <c r="B105" s="3"/>
      <c r="C105" s="3">
        <f t="shared" si="3"/>
        <v>1.959772928062236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</row>
    <row r="106" spans="1:32" x14ac:dyDescent="0.25">
      <c r="A106" s="3">
        <v>20.399999999999984</v>
      </c>
      <c r="B106" s="3"/>
      <c r="C106" s="3">
        <f t="shared" si="3"/>
        <v>1.9432001374906362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</row>
    <row r="107" spans="1:32" x14ac:dyDescent="0.25">
      <c r="A107" s="3">
        <v>20.639999999999983</v>
      </c>
      <c r="B107" s="3"/>
      <c r="C107" s="3">
        <f t="shared" si="3"/>
        <v>1.9256232694373951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</row>
    <row r="108" spans="1:32" x14ac:dyDescent="0.25">
      <c r="A108" s="3">
        <v>20.879999999999981</v>
      </c>
      <c r="B108" s="3"/>
      <c r="C108" s="3">
        <f t="shared" si="3"/>
        <v>1.9069942361690218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</row>
    <row r="109" spans="1:32" x14ac:dyDescent="0.25">
      <c r="A109" s="3">
        <v>21.11999999999998</v>
      </c>
      <c r="B109" s="3"/>
      <c r="C109" s="3">
        <f t="shared" si="3"/>
        <v>1.887263242969246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</row>
    <row r="110" spans="1:32" x14ac:dyDescent="0.25">
      <c r="A110" s="3">
        <v>21.359999999999978</v>
      </c>
      <c r="B110" s="3"/>
      <c r="C110" s="3">
        <f t="shared" si="3"/>
        <v>1.8663787482127479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</row>
    <row r="111" spans="1:32" x14ac:dyDescent="0.25">
      <c r="A111" s="3">
        <v>21.599999999999977</v>
      </c>
      <c r="B111" s="3"/>
      <c r="C111" s="3">
        <f t="shared" si="3"/>
        <v>1.8442874229773076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</row>
    <row r="112" spans="1:32" x14ac:dyDescent="0.25">
      <c r="A112" s="3">
        <v>21.839999999999975</v>
      </c>
      <c r="B112" s="3"/>
      <c r="C112" s="3">
        <f t="shared" si="3"/>
        <v>1.8209341101943834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</row>
    <row r="113" spans="1:32" x14ac:dyDescent="0.25">
      <c r="A113" s="3">
        <v>22.079999999999973</v>
      </c>
      <c r="B113" s="3"/>
      <c r="C113" s="3">
        <f t="shared" si="3"/>
        <v>1.7962617833381127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</row>
    <row r="114" spans="1:32" x14ac:dyDescent="0.25">
      <c r="A114" s="3">
        <v>22.319999999999972</v>
      </c>
      <c r="B114" s="3"/>
      <c r="C114" s="3">
        <f t="shared" si="3"/>
        <v>1.7702115046527376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</row>
    <row r="115" spans="1:32" x14ac:dyDescent="0.25">
      <c r="A115" s="3">
        <v>22.55999999999997</v>
      </c>
      <c r="B115" s="3"/>
      <c r="C115" s="3">
        <f t="shared" si="3"/>
        <v>1.7427223829184548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</row>
    <row r="116" spans="1:32" x14ac:dyDescent="0.25">
      <c r="A116" s="3">
        <v>22.799999999999969</v>
      </c>
      <c r="B116" s="3"/>
      <c r="C116" s="3">
        <f t="shared" si="3"/>
        <v>1.7137315307556908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</row>
    <row r="117" spans="1:32" x14ac:dyDescent="0.25">
      <c r="A117" s="3">
        <v>23.039999999999967</v>
      </c>
      <c r="B117" s="3"/>
      <c r="C117" s="3">
        <f t="shared" si="3"/>
        <v>1.6831740214678037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</row>
    <row r="118" spans="1:32" x14ac:dyDescent="0.25">
      <c r="A118" s="3">
        <v>23.279999999999966</v>
      </c>
      <c r="B118" s="3"/>
      <c r="C118" s="3">
        <f t="shared" si="3"/>
        <v>1.650982845422204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</row>
    <row r="119" spans="1:32" x14ac:dyDescent="0.25">
      <c r="A119" s="3">
        <v>23.519999999999964</v>
      </c>
      <c r="B119" s="3"/>
      <c r="C119" s="3">
        <f t="shared" si="3"/>
        <v>1.6170888659699045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</row>
    <row r="120" spans="1:32" x14ac:dyDescent="0.25">
      <c r="A120" s="3">
        <v>23.759999999999962</v>
      </c>
      <c r="B120" s="3"/>
      <c r="C120" s="3">
        <f t="shared" si="3"/>
        <v>1.5814207749034954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</row>
    <row r="121" spans="1:32" x14ac:dyDescent="0.25">
      <c r="A121" s="3">
        <v>23.999999999999961</v>
      </c>
      <c r="B121" s="3"/>
      <c r="C121" s="3">
        <f t="shared" si="3"/>
        <v>1.5439050474535405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</row>
  </sheetData>
  <mergeCells count="1">
    <mergeCell ref="F12:L14"/>
  </mergeCells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zoomScale="80" zoomScaleNormal="80" workbookViewId="0"/>
  </sheetViews>
  <sheetFormatPr defaultRowHeight="15" x14ac:dyDescent="0.25"/>
  <cols>
    <col min="1" max="1" width="9.140625" style="4"/>
    <col min="2" max="2" width="10.5703125" style="4" bestFit="1" customWidth="1"/>
    <col min="3" max="3" width="11.42578125" style="4" bestFit="1" customWidth="1"/>
    <col min="4" max="4" width="13.7109375" style="4" bestFit="1" customWidth="1"/>
    <col min="5" max="16384" width="9.140625" style="4"/>
  </cols>
  <sheetData>
    <row r="1" spans="1:6" x14ac:dyDescent="0.25">
      <c r="A1" s="4" t="s">
        <v>2</v>
      </c>
      <c r="B1" s="4" t="s">
        <v>6</v>
      </c>
      <c r="C1" s="4" t="s">
        <v>44</v>
      </c>
      <c r="D1" s="4" t="s">
        <v>40</v>
      </c>
      <c r="E1" s="4" t="s">
        <v>0</v>
      </c>
      <c r="F1" s="4" t="s">
        <v>1</v>
      </c>
    </row>
    <row r="2" spans="1:6" x14ac:dyDescent="0.25">
      <c r="A2" s="4">
        <v>13126</v>
      </c>
      <c r="B2" s="4" t="s">
        <v>3</v>
      </c>
      <c r="C2" s="4" t="s">
        <v>43</v>
      </c>
      <c r="D2" s="4" t="s">
        <v>41</v>
      </c>
      <c r="E2" s="4">
        <v>0</v>
      </c>
      <c r="F2" s="6">
        <f>LOG10(5.7*10^5)</f>
        <v>5.7558748556724915</v>
      </c>
    </row>
    <row r="3" spans="1:6" x14ac:dyDescent="0.25">
      <c r="A3" s="4">
        <v>13126</v>
      </c>
      <c r="B3" s="4" t="s">
        <v>3</v>
      </c>
      <c r="C3" s="4" t="s">
        <v>43</v>
      </c>
      <c r="D3" s="4" t="s">
        <v>41</v>
      </c>
      <c r="E3" s="3">
        <v>10</v>
      </c>
      <c r="F3" s="6">
        <f>LOG10(1.3*10^3)</f>
        <v>3.1139433523068369</v>
      </c>
    </row>
    <row r="4" spans="1:6" x14ac:dyDescent="0.25">
      <c r="A4" s="4">
        <v>13126</v>
      </c>
      <c r="B4" s="4" t="s">
        <v>3</v>
      </c>
      <c r="C4" s="4" t="s">
        <v>43</v>
      </c>
      <c r="D4" s="4" t="s">
        <v>41</v>
      </c>
      <c r="E4" s="3">
        <v>12</v>
      </c>
      <c r="F4" s="6">
        <f>LOG10(6*10^2)</f>
        <v>2.7781512503836434</v>
      </c>
    </row>
    <row r="5" spans="1:6" x14ac:dyDescent="0.25">
      <c r="A5" s="4">
        <v>13126</v>
      </c>
      <c r="B5" s="4" t="s">
        <v>3</v>
      </c>
      <c r="C5" s="4" t="s">
        <v>43</v>
      </c>
      <c r="D5" s="4" t="s">
        <v>41</v>
      </c>
      <c r="E5" s="3">
        <v>14</v>
      </c>
      <c r="F5" s="6">
        <f>LOG10(1.5*10^2)</f>
        <v>2.1760912590556813</v>
      </c>
    </row>
    <row r="6" spans="1:6" x14ac:dyDescent="0.25">
      <c r="A6" s="4">
        <v>13126</v>
      </c>
      <c r="B6" s="4" t="s">
        <v>3</v>
      </c>
      <c r="C6" s="4" t="s">
        <v>43</v>
      </c>
      <c r="D6" s="4" t="s">
        <v>41</v>
      </c>
      <c r="E6" s="3">
        <v>16</v>
      </c>
      <c r="F6" s="6">
        <f>LOG10(3.5*10^2)</f>
        <v>2.5440680443502757</v>
      </c>
    </row>
    <row r="7" spans="1:6" x14ac:dyDescent="0.25">
      <c r="A7" s="4">
        <v>13126</v>
      </c>
      <c r="B7" s="4" t="s">
        <v>3</v>
      </c>
      <c r="C7" s="4" t="s">
        <v>43</v>
      </c>
      <c r="D7" s="4" t="s">
        <v>41</v>
      </c>
      <c r="E7" s="3">
        <v>18</v>
      </c>
      <c r="F7" s="6">
        <f>LOG10(0.65*10^2)</f>
        <v>1.8129133566428555</v>
      </c>
    </row>
    <row r="8" spans="1:6" x14ac:dyDescent="0.25">
      <c r="A8" s="4">
        <v>13126</v>
      </c>
      <c r="B8" s="4" t="s">
        <v>3</v>
      </c>
      <c r="C8" s="4" t="s">
        <v>43</v>
      </c>
      <c r="D8" s="4" t="s">
        <v>41</v>
      </c>
      <c r="E8" s="3">
        <v>24</v>
      </c>
      <c r="F8" s="6">
        <f>LOG10(0.35*10^2)</f>
        <v>1.5440680443502757</v>
      </c>
    </row>
    <row r="9" spans="1:6" x14ac:dyDescent="0.25">
      <c r="A9" s="4">
        <v>13126</v>
      </c>
      <c r="B9" s="4" t="s">
        <v>4</v>
      </c>
      <c r="C9" s="4" t="s">
        <v>43</v>
      </c>
      <c r="D9" s="4" t="s">
        <v>41</v>
      </c>
      <c r="E9" s="3">
        <v>10</v>
      </c>
      <c r="F9" s="6">
        <f>LOG10(2*10^5)</f>
        <v>5.3010299956639813</v>
      </c>
    </row>
    <row r="10" spans="1:6" x14ac:dyDescent="0.25">
      <c r="A10" s="4">
        <v>13126</v>
      </c>
      <c r="B10" s="4" t="s">
        <v>4</v>
      </c>
      <c r="C10" s="4" t="s">
        <v>43</v>
      </c>
      <c r="D10" s="4" t="s">
        <v>41</v>
      </c>
      <c r="E10" s="3">
        <v>12</v>
      </c>
      <c r="F10" s="6">
        <f>LOG10(1.37*10^5)</f>
        <v>5.1367205671564067</v>
      </c>
    </row>
    <row r="11" spans="1:6" x14ac:dyDescent="0.25">
      <c r="A11" s="4">
        <v>13126</v>
      </c>
      <c r="B11" s="4" t="s">
        <v>4</v>
      </c>
      <c r="C11" s="4" t="s">
        <v>43</v>
      </c>
      <c r="D11" s="4" t="s">
        <v>41</v>
      </c>
      <c r="E11" s="3">
        <v>14</v>
      </c>
      <c r="F11" s="6">
        <f>LOG10(2.3*10^2)</f>
        <v>2.3617278360175926</v>
      </c>
    </row>
    <row r="12" spans="1:6" x14ac:dyDescent="0.25">
      <c r="A12" s="4">
        <v>13126</v>
      </c>
      <c r="B12" s="4" t="s">
        <v>4</v>
      </c>
      <c r="C12" s="4" t="s">
        <v>43</v>
      </c>
      <c r="D12" s="4" t="s">
        <v>41</v>
      </c>
      <c r="E12" s="3">
        <v>16</v>
      </c>
      <c r="F12" s="6">
        <f>LOG10(2.15*10^2)</f>
        <v>2.3324384599156054</v>
      </c>
    </row>
    <row r="13" spans="1:6" x14ac:dyDescent="0.25">
      <c r="A13" s="4">
        <v>13126</v>
      </c>
      <c r="B13" s="4" t="s">
        <v>4</v>
      </c>
      <c r="C13" s="4" t="s">
        <v>43</v>
      </c>
      <c r="D13" s="4" t="s">
        <v>41</v>
      </c>
      <c r="E13" s="3">
        <v>18</v>
      </c>
      <c r="F13" s="6">
        <f>LOG10(0.65*10^2)</f>
        <v>1.8129133566428555</v>
      </c>
    </row>
    <row r="14" spans="1:6" x14ac:dyDescent="0.25">
      <c r="A14" s="4">
        <v>13126</v>
      </c>
      <c r="B14" s="4" t="s">
        <v>5</v>
      </c>
      <c r="C14" s="4" t="s">
        <v>43</v>
      </c>
      <c r="D14" s="4" t="s">
        <v>41</v>
      </c>
      <c r="E14" s="3">
        <v>10</v>
      </c>
      <c r="F14" s="6">
        <f>LOG10(5.7*10^5)</f>
        <v>5.7558748556724915</v>
      </c>
    </row>
    <row r="15" spans="1:6" x14ac:dyDescent="0.25">
      <c r="A15" s="4">
        <v>13126</v>
      </c>
      <c r="B15" s="4" t="s">
        <v>5</v>
      </c>
      <c r="C15" s="4" t="s">
        <v>43</v>
      </c>
      <c r="D15" s="4" t="s">
        <v>41</v>
      </c>
      <c r="E15" s="3">
        <v>12</v>
      </c>
      <c r="F15" s="6">
        <f>LOG10(1.13*10^5)</f>
        <v>5.0530784434834199</v>
      </c>
    </row>
    <row r="16" spans="1:6" x14ac:dyDescent="0.25">
      <c r="A16" s="4">
        <v>13126</v>
      </c>
      <c r="B16" s="4" t="s">
        <v>5</v>
      </c>
      <c r="C16" s="4" t="s">
        <v>43</v>
      </c>
      <c r="D16" s="4" t="s">
        <v>41</v>
      </c>
      <c r="E16" s="3">
        <v>14</v>
      </c>
      <c r="F16" s="6">
        <f>LOG10(0.7*10^2)</f>
        <v>1.8450980400142569</v>
      </c>
    </row>
    <row r="17" spans="1:6" x14ac:dyDescent="0.25">
      <c r="A17" s="4">
        <v>13126</v>
      </c>
      <c r="B17" s="4" t="s">
        <v>5</v>
      </c>
      <c r="C17" s="4" t="s">
        <v>43</v>
      </c>
      <c r="D17" s="4" t="s">
        <v>41</v>
      </c>
      <c r="E17" s="3">
        <v>18</v>
      </c>
      <c r="F17" s="6">
        <f>LOG10(2.35*10^2)</f>
        <v>2.3710678622717363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126"/>
  <sheetViews>
    <sheetView zoomScale="80" zoomScaleNormal="80" workbookViewId="0"/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2.140625" style="4" bestFit="1" customWidth="1"/>
    <col min="7" max="16384" width="9.140625" style="4"/>
  </cols>
  <sheetData>
    <row r="1" spans="1:38" ht="24" customHeight="1" x14ac:dyDescent="0.25">
      <c r="A1" s="2" t="s">
        <v>0</v>
      </c>
      <c r="B1" s="1" t="s">
        <v>7</v>
      </c>
      <c r="C1" s="1" t="s">
        <v>8</v>
      </c>
      <c r="D1" s="2" t="s">
        <v>9</v>
      </c>
      <c r="E1" s="3"/>
      <c r="F1" s="2" t="s">
        <v>11</v>
      </c>
      <c r="G1" s="2" t="s">
        <v>12</v>
      </c>
      <c r="H1" s="2" t="s">
        <v>20</v>
      </c>
      <c r="I1" s="3"/>
      <c r="J1" s="3"/>
      <c r="K1" s="3"/>
      <c r="L1" s="3"/>
      <c r="M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</row>
    <row r="2" spans="1:38" x14ac:dyDescent="0.25">
      <c r="A2" s="3">
        <v>0</v>
      </c>
      <c r="B2" s="3">
        <v>5.7403626894942441</v>
      </c>
      <c r="C2" s="3">
        <f t="shared" ref="C2:C23" si="0">LOG((10^$G$5-10^$G$2)*10^(-1*((A2/$G$3)^$G$4))+10^$G$2)</f>
        <v>5.3163597694222959</v>
      </c>
      <c r="D2" s="3">
        <f t="shared" ref="D2:D23" si="1" xml:space="preserve"> (B2 - C2)^2</f>
        <v>0.17977847622953888</v>
      </c>
      <c r="E2" s="3"/>
      <c r="F2" s="3" t="s">
        <v>16</v>
      </c>
      <c r="G2" s="6">
        <v>1.7257963591209908</v>
      </c>
      <c r="H2" s="6">
        <v>0.16914448053162859</v>
      </c>
      <c r="I2" s="3"/>
      <c r="J2" s="3"/>
      <c r="K2" s="3"/>
      <c r="L2" s="5" t="s">
        <v>21</v>
      </c>
      <c r="M2" s="6">
        <v>0.32284308053601435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1:38" x14ac:dyDescent="0.25">
      <c r="A3" s="3">
        <v>10</v>
      </c>
      <c r="B3" s="3">
        <v>3.0899051114393981</v>
      </c>
      <c r="C3" s="3">
        <f t="shared" si="0"/>
        <v>4.1838731900603721</v>
      </c>
      <c r="D3" s="3">
        <f t="shared" si="1"/>
        <v>1.1967661570416657</v>
      </c>
      <c r="E3" s="3"/>
      <c r="F3" s="3" t="s">
        <v>14</v>
      </c>
      <c r="G3" s="6">
        <v>9.66311555640333</v>
      </c>
      <c r="H3" s="6">
        <v>1.0882844322102141</v>
      </c>
      <c r="I3" s="3"/>
      <c r="J3" s="3"/>
      <c r="K3" s="3"/>
      <c r="L3" s="5" t="s">
        <v>24</v>
      </c>
      <c r="M3" s="6">
        <f>SQRT(M2)</f>
        <v>0.56819281985608927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</row>
    <row r="4" spans="1:38" x14ac:dyDescent="0.25">
      <c r="A4" s="3">
        <v>12</v>
      </c>
      <c r="B4" s="3">
        <v>2.9395192526186187</v>
      </c>
      <c r="C4" s="3">
        <f t="shared" si="0"/>
        <v>3.1214576558166804</v>
      </c>
      <c r="D4" s="3">
        <f t="shared" si="1"/>
        <v>3.3101582558260491E-2</v>
      </c>
      <c r="E4" s="3"/>
      <c r="F4" s="3" t="s">
        <v>15</v>
      </c>
      <c r="G4" s="6">
        <v>3.66671100057571</v>
      </c>
      <c r="H4" s="6">
        <v>1.4226136745202103</v>
      </c>
      <c r="I4" s="3"/>
      <c r="J4" s="3"/>
      <c r="K4" s="3"/>
      <c r="L4" s="5" t="s">
        <v>22</v>
      </c>
      <c r="M4" s="6">
        <v>0.87118810627778986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</row>
    <row r="5" spans="1:38" x14ac:dyDescent="0.25">
      <c r="A5" s="3">
        <v>14</v>
      </c>
      <c r="B5" s="3">
        <v>2.6020599913279625</v>
      </c>
      <c r="C5" s="3">
        <f t="shared" si="0"/>
        <v>1.9010964604962315</v>
      </c>
      <c r="D5" s="3">
        <f t="shared" si="1"/>
        <v>0.49134987155608711</v>
      </c>
      <c r="E5" s="3"/>
      <c r="F5" s="3" t="s">
        <v>13</v>
      </c>
      <c r="G5" s="6">
        <v>5.316359769422295</v>
      </c>
      <c r="H5" s="6">
        <v>0.32602530858198653</v>
      </c>
      <c r="I5" s="3"/>
      <c r="J5" s="3"/>
      <c r="K5" s="3"/>
      <c r="L5" s="5" t="s">
        <v>23</v>
      </c>
      <c r="M5" s="6">
        <v>0.84971945732408827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</row>
    <row r="6" spans="1:38" x14ac:dyDescent="0.25">
      <c r="A6" s="3">
        <v>16</v>
      </c>
      <c r="B6" s="3">
        <v>1.8129133566428555</v>
      </c>
      <c r="C6" s="3">
        <f t="shared" si="0"/>
        <v>1.7265449763046155</v>
      </c>
      <c r="D6" s="3">
        <f t="shared" si="1"/>
        <v>7.4594971222508846E-3</v>
      </c>
      <c r="E6" s="3"/>
      <c r="F6" s="3"/>
      <c r="G6" s="3"/>
      <c r="H6" s="3"/>
      <c r="I6" s="3"/>
      <c r="J6" s="3"/>
      <c r="K6" s="3"/>
      <c r="L6" s="3"/>
      <c r="M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</row>
    <row r="7" spans="1:38" x14ac:dyDescent="0.25">
      <c r="A7" s="3">
        <v>18</v>
      </c>
      <c r="B7" s="3">
        <v>2.4983105537896004</v>
      </c>
      <c r="C7" s="3">
        <f t="shared" si="0"/>
        <v>1.7257966363059969</v>
      </c>
      <c r="D7" s="3">
        <f t="shared" si="1"/>
        <v>0.59677775270586386</v>
      </c>
      <c r="E7" s="3"/>
      <c r="F7" s="2" t="s">
        <v>25</v>
      </c>
      <c r="G7" s="3"/>
      <c r="H7" s="3"/>
      <c r="I7" s="3"/>
      <c r="J7" s="3"/>
      <c r="K7" s="3"/>
      <c r="L7" s="3"/>
      <c r="M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</row>
    <row r="8" spans="1:38" x14ac:dyDescent="0.25">
      <c r="A8" s="3">
        <v>20</v>
      </c>
      <c r="B8" s="3">
        <v>2.3979400086720375</v>
      </c>
      <c r="C8" s="3">
        <f t="shared" si="0"/>
        <v>1.725796359127725</v>
      </c>
      <c r="D8" s="3">
        <f t="shared" si="1"/>
        <v>0.4517770856227476</v>
      </c>
      <c r="E8" s="3"/>
      <c r="F8" s="3" t="s">
        <v>34</v>
      </c>
      <c r="G8" s="3"/>
      <c r="H8" s="3"/>
      <c r="I8" s="3"/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</row>
    <row r="9" spans="1:38" x14ac:dyDescent="0.25">
      <c r="A9" s="3">
        <v>22</v>
      </c>
      <c r="B9" s="3">
        <v>2.2671717284030137</v>
      </c>
      <c r="C9" s="3">
        <f t="shared" si="0"/>
        <v>1.7257963591209911</v>
      </c>
      <c r="D9" s="3">
        <f t="shared" si="1"/>
        <v>0.2930872904652464</v>
      </c>
      <c r="E9" s="3"/>
      <c r="F9" s="2" t="s">
        <v>27</v>
      </c>
      <c r="G9" s="3"/>
      <c r="H9" s="3"/>
      <c r="I9" s="3"/>
      <c r="J9" s="3"/>
      <c r="K9" s="3"/>
      <c r="L9" s="3"/>
      <c r="M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</row>
    <row r="10" spans="1:38" x14ac:dyDescent="0.25">
      <c r="A10" s="3">
        <v>26</v>
      </c>
      <c r="B10" s="3">
        <v>1.4771212547196624</v>
      </c>
      <c r="C10" s="3">
        <f t="shared" si="0"/>
        <v>1.7257963591209911</v>
      </c>
      <c r="D10" s="3">
        <f t="shared" si="1"/>
        <v>6.1839307549011714E-2</v>
      </c>
      <c r="E10" s="3"/>
      <c r="F10" s="3" t="s">
        <v>35</v>
      </c>
      <c r="G10" s="3"/>
      <c r="H10" s="3"/>
      <c r="I10" s="3"/>
      <c r="J10" s="3"/>
      <c r="K10" s="3"/>
      <c r="L10" s="3"/>
      <c r="M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</row>
    <row r="11" spans="1:38" x14ac:dyDescent="0.25">
      <c r="A11" s="3">
        <v>0</v>
      </c>
      <c r="B11" s="3">
        <v>5.1367205671564067</v>
      </c>
      <c r="C11" s="3">
        <f t="shared" si="0"/>
        <v>5.3163597694222959</v>
      </c>
      <c r="D11" s="3">
        <f t="shared" si="1"/>
        <v>3.2270242990725069E-2</v>
      </c>
      <c r="E11" s="3"/>
      <c r="F11" s="2" t="s">
        <v>29</v>
      </c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</row>
    <row r="12" spans="1:38" x14ac:dyDescent="0.25">
      <c r="A12" s="3">
        <v>10</v>
      </c>
      <c r="B12" s="3">
        <v>4.9542425094393252</v>
      </c>
      <c r="C12" s="3">
        <f t="shared" si="0"/>
        <v>4.1838731900603721</v>
      </c>
      <c r="D12" s="3">
        <f t="shared" si="1"/>
        <v>0.59346888824039146</v>
      </c>
      <c r="E12" s="3"/>
      <c r="F12" s="11" t="s">
        <v>36</v>
      </c>
      <c r="G12" s="12"/>
      <c r="H12" s="12"/>
      <c r="I12" s="12"/>
      <c r="J12" s="12"/>
      <c r="K12" s="12"/>
      <c r="L12" s="12"/>
      <c r="M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</row>
    <row r="13" spans="1:38" x14ac:dyDescent="0.25">
      <c r="A13" s="3">
        <v>12</v>
      </c>
      <c r="B13" s="3">
        <v>2.9395192526186187</v>
      </c>
      <c r="C13" s="3">
        <f t="shared" si="0"/>
        <v>3.1214576558166804</v>
      </c>
      <c r="D13" s="3">
        <f t="shared" si="1"/>
        <v>3.3101582558260491E-2</v>
      </c>
      <c r="E13" s="3"/>
      <c r="F13" s="12"/>
      <c r="G13" s="12"/>
      <c r="H13" s="12"/>
      <c r="I13" s="12"/>
      <c r="J13" s="12"/>
      <c r="K13" s="12"/>
      <c r="L13" s="12"/>
      <c r="M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</row>
    <row r="14" spans="1:38" x14ac:dyDescent="0.25">
      <c r="A14" s="3">
        <v>14</v>
      </c>
      <c r="B14" s="3">
        <v>1.1760912590556813</v>
      </c>
      <c r="C14" s="3">
        <f t="shared" si="0"/>
        <v>1.9010964604962315</v>
      </c>
      <c r="D14" s="3">
        <f t="shared" si="1"/>
        <v>0.52563254211585264</v>
      </c>
      <c r="E14" s="3"/>
      <c r="F14" s="12"/>
      <c r="G14" s="12"/>
      <c r="H14" s="12"/>
      <c r="I14" s="12"/>
      <c r="J14" s="12"/>
      <c r="K14" s="12"/>
      <c r="L14" s="12"/>
      <c r="M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</row>
    <row r="15" spans="1:38" x14ac:dyDescent="0.25">
      <c r="A15" s="3">
        <v>16</v>
      </c>
      <c r="B15" s="3">
        <v>1.1760912590556813</v>
      </c>
      <c r="C15" s="3">
        <f t="shared" si="0"/>
        <v>1.7265449763046155</v>
      </c>
      <c r="D15" s="3">
        <f t="shared" si="1"/>
        <v>0.30299929483316951</v>
      </c>
      <c r="E15" s="3"/>
      <c r="F15" s="3"/>
      <c r="G15" s="3"/>
      <c r="H15" s="3"/>
      <c r="I15" s="3"/>
      <c r="J15" s="3"/>
      <c r="K15" s="3"/>
      <c r="L15" s="3"/>
      <c r="M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</row>
    <row r="16" spans="1:38" x14ac:dyDescent="0.25">
      <c r="A16" s="3">
        <v>18</v>
      </c>
      <c r="B16" s="3">
        <v>1.5440680443502757</v>
      </c>
      <c r="C16" s="3">
        <f t="shared" si="0"/>
        <v>1.7257966363059969</v>
      </c>
      <c r="D16" s="3">
        <f t="shared" si="1"/>
        <v>3.3025281134209022E-2</v>
      </c>
      <c r="E16" s="3"/>
      <c r="F16" s="3"/>
      <c r="G16" s="3"/>
      <c r="H16" s="3"/>
      <c r="I16" s="3"/>
      <c r="J16" s="3"/>
      <c r="K16" s="3"/>
      <c r="L16" s="3"/>
      <c r="M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</row>
    <row r="17" spans="1:38" x14ac:dyDescent="0.25">
      <c r="A17" s="3">
        <v>26</v>
      </c>
      <c r="B17" s="3">
        <v>1.9294189257142926</v>
      </c>
      <c r="C17" s="3">
        <f t="shared" si="0"/>
        <v>1.7257963591209911</v>
      </c>
      <c r="D17" s="3">
        <f t="shared" si="1"/>
        <v>4.1462149626043533E-2</v>
      </c>
      <c r="E17" s="3"/>
      <c r="F17" s="3"/>
      <c r="G17" s="3"/>
      <c r="H17" s="3"/>
      <c r="I17" s="3"/>
      <c r="J17" s="3"/>
      <c r="K17" s="3"/>
      <c r="L17" s="3"/>
      <c r="M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</row>
    <row r="18" spans="1:38" x14ac:dyDescent="0.25">
      <c r="A18" s="3">
        <v>0</v>
      </c>
      <c r="B18" s="3">
        <v>5.0791812460476251</v>
      </c>
      <c r="C18" s="3">
        <f t="shared" si="0"/>
        <v>5.3163597694222959</v>
      </c>
      <c r="D18" s="3">
        <f t="shared" si="1"/>
        <v>5.6253651950189276E-2</v>
      </c>
      <c r="E18" s="3"/>
      <c r="F18" s="3"/>
      <c r="G18" s="3"/>
      <c r="H18" s="3"/>
      <c r="I18" s="3"/>
      <c r="J18" s="3"/>
      <c r="K18" s="3"/>
      <c r="L18" s="3"/>
      <c r="M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</row>
    <row r="19" spans="1:38" x14ac:dyDescent="0.25">
      <c r="A19" s="3">
        <v>10</v>
      </c>
      <c r="B19" s="3">
        <v>4.4771212547196626</v>
      </c>
      <c r="C19" s="3">
        <f t="shared" si="0"/>
        <v>4.1838731900603721</v>
      </c>
      <c r="D19" s="3">
        <f t="shared" si="1"/>
        <v>8.599442742641944E-2</v>
      </c>
      <c r="E19" s="3"/>
      <c r="F19" s="3"/>
      <c r="G19" s="3"/>
      <c r="H19" s="3"/>
      <c r="I19" s="3"/>
      <c r="J19" s="3"/>
      <c r="K19" s="3"/>
      <c r="L19" s="3"/>
      <c r="M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</row>
    <row r="20" spans="1:38" x14ac:dyDescent="0.25">
      <c r="A20" s="3">
        <v>12</v>
      </c>
      <c r="B20" s="3">
        <v>3.5185139398778875</v>
      </c>
      <c r="C20" s="3">
        <f t="shared" si="0"/>
        <v>3.1214576558166804</v>
      </c>
      <c r="D20" s="3">
        <f t="shared" si="1"/>
        <v>0.15765369271249396</v>
      </c>
      <c r="E20" s="3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</row>
    <row r="21" spans="1:38" x14ac:dyDescent="0.25">
      <c r="A21" s="3">
        <v>18</v>
      </c>
      <c r="B21" s="3">
        <v>1.5440680443502757</v>
      </c>
      <c r="C21" s="3">
        <f t="shared" si="0"/>
        <v>1.7257966363059969</v>
      </c>
      <c r="D21" s="3">
        <f t="shared" si="1"/>
        <v>3.3025281134209022E-2</v>
      </c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</row>
    <row r="22" spans="1:38" x14ac:dyDescent="0.25">
      <c r="A22" s="3">
        <v>22</v>
      </c>
      <c r="B22" s="3">
        <v>1.1760912590556813</v>
      </c>
      <c r="C22" s="3">
        <f t="shared" si="0"/>
        <v>1.7257963591209911</v>
      </c>
      <c r="D22" s="3">
        <f t="shared" si="1"/>
        <v>0.30217569703781216</v>
      </c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</row>
    <row r="23" spans="1:38" x14ac:dyDescent="0.25">
      <c r="A23" s="3">
        <v>26</v>
      </c>
      <c r="B23" s="3">
        <v>1.1760912590556813</v>
      </c>
      <c r="C23" s="3">
        <f t="shared" si="0"/>
        <v>1.7257963591209911</v>
      </c>
      <c r="D23" s="3">
        <f t="shared" si="1"/>
        <v>0.30217569703781216</v>
      </c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38" x14ac:dyDescent="0.25">
      <c r="A24" s="2" t="s">
        <v>10</v>
      </c>
      <c r="B24" s="3"/>
      <c r="C24" s="3"/>
      <c r="D24" s="3">
        <f>SUM(D2:D23)</f>
        <v>5.8111754496482586</v>
      </c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38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</row>
    <row r="26" spans="1:38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</row>
    <row r="27" spans="1:38" x14ac:dyDescent="0.25">
      <c r="A27" s="3">
        <v>0</v>
      </c>
      <c r="B27" s="3"/>
      <c r="C27" s="3">
        <f>LOG((10^$G$5-10^$G$2)*10^(-1*((A27/$G$3)^$G$4))+10^$G$2)</f>
        <v>5.3163597694222959</v>
      </c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</row>
    <row r="28" spans="1:38" x14ac:dyDescent="0.25">
      <c r="A28" s="3">
        <v>0.26</v>
      </c>
      <c r="B28" s="3"/>
      <c r="C28" s="3">
        <f t="shared" ref="C28:C91" si="2">LOG((10^$G$5-10^$G$2)*10^(-1*((A28/$G$3)^$G$4))+10^$G$2)</f>
        <v>5.3163580210864438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</row>
    <row r="29" spans="1:38" x14ac:dyDescent="0.25">
      <c r="A29" s="3">
        <v>0.52</v>
      </c>
      <c r="B29" s="3"/>
      <c r="C29" s="3">
        <f t="shared" si="2"/>
        <v>5.316337566258782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</row>
    <row r="30" spans="1:38" x14ac:dyDescent="0.25">
      <c r="A30" s="3">
        <v>0.78</v>
      </c>
      <c r="B30" s="3"/>
      <c r="C30" s="3">
        <f t="shared" si="2"/>
        <v>5.3162615741442503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</row>
    <row r="31" spans="1:38" x14ac:dyDescent="0.25">
      <c r="A31" s="3">
        <v>1.04</v>
      </c>
      <c r="B31" s="3"/>
      <c r="C31" s="3">
        <f t="shared" si="2"/>
        <v>5.3160777981781822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</row>
    <row r="32" spans="1:38" x14ac:dyDescent="0.25">
      <c r="A32" s="3">
        <v>1.3</v>
      </c>
      <c r="B32" s="3"/>
      <c r="C32" s="3">
        <f t="shared" si="2"/>
        <v>5.3157207033150913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</row>
    <row r="33" spans="1:38" x14ac:dyDescent="0.25">
      <c r="A33" s="3">
        <v>1.56</v>
      </c>
      <c r="B33" s="3"/>
      <c r="C33" s="3">
        <f t="shared" si="2"/>
        <v>5.3151127292240421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</row>
    <row r="34" spans="1:38" x14ac:dyDescent="0.25">
      <c r="A34" s="3">
        <v>1.82</v>
      </c>
      <c r="B34" s="3"/>
      <c r="C34" s="3">
        <f t="shared" si="2"/>
        <v>5.3141651720181029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</row>
    <row r="35" spans="1:38" x14ac:dyDescent="0.25">
      <c r="A35" s="3">
        <v>2.08</v>
      </c>
      <c r="B35" s="3"/>
      <c r="C35" s="3">
        <f t="shared" si="2"/>
        <v>5.3127788512889129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</row>
    <row r="36" spans="1:38" x14ac:dyDescent="0.25">
      <c r="A36" s="3">
        <v>2.34</v>
      </c>
      <c r="B36" s="3"/>
      <c r="C36" s="3">
        <f t="shared" si="2"/>
        <v>5.3108446406268621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</row>
    <row r="37" spans="1:38" x14ac:dyDescent="0.25">
      <c r="A37" s="3">
        <v>2.5999999999999996</v>
      </c>
      <c r="B37" s="3"/>
      <c r="C37" s="3">
        <f t="shared" si="2"/>
        <v>5.3082439043984193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</row>
    <row r="38" spans="1:38" x14ac:dyDescent="0.25">
      <c r="A38" s="3">
        <v>2.8599999999999994</v>
      </c>
      <c r="B38" s="3"/>
      <c r="C38" s="3">
        <f t="shared" si="2"/>
        <v>5.3048488666105849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</row>
    <row r="39" spans="1:38" x14ac:dyDescent="0.25">
      <c r="A39" s="3">
        <v>3.1199999999999992</v>
      </c>
      <c r="B39" s="3"/>
      <c r="C39" s="3">
        <f t="shared" si="2"/>
        <v>5.300522928591529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</row>
    <row r="40" spans="1:38" x14ac:dyDescent="0.25">
      <c r="A40" s="3">
        <v>3.379999999999999</v>
      </c>
      <c r="B40" s="3"/>
      <c r="C40" s="3">
        <f t="shared" si="2"/>
        <v>5.2951209469091722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</row>
    <row r="41" spans="1:38" x14ac:dyDescent="0.25">
      <c r="A41" s="3">
        <v>3.6399999999999988</v>
      </c>
      <c r="B41" s="3"/>
      <c r="C41" s="3">
        <f t="shared" si="2"/>
        <v>5.2884894796585797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</row>
    <row r="42" spans="1:38" x14ac:dyDescent="0.25">
      <c r="A42" s="3">
        <v>3.8999999999999986</v>
      </c>
      <c r="B42" s="3"/>
      <c r="C42" s="3">
        <f t="shared" si="2"/>
        <v>5.280467007109908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</row>
    <row r="43" spans="1:38" x14ac:dyDescent="0.25">
      <c r="A43" s="3">
        <v>4.1599999999999984</v>
      </c>
      <c r="B43" s="3"/>
      <c r="C43" s="3">
        <f t="shared" si="2"/>
        <v>5.2708841312669374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</row>
    <row r="44" spans="1:38" x14ac:dyDescent="0.25">
      <c r="A44" s="3">
        <v>4.4199999999999982</v>
      </c>
      <c r="B44" s="3"/>
      <c r="C44" s="3">
        <f t="shared" si="2"/>
        <v>5.2595637578883805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</row>
    <row r="45" spans="1:38" x14ac:dyDescent="0.25">
      <c r="A45" s="3">
        <v>4.6799999999999979</v>
      </c>
      <c r="B45" s="3"/>
      <c r="C45" s="3">
        <f t="shared" si="2"/>
        <v>5.2463212638223391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</row>
    <row r="46" spans="1:38" x14ac:dyDescent="0.25">
      <c r="A46" s="3">
        <v>4.9399999999999977</v>
      </c>
      <c r="B46" s="3"/>
      <c r="C46" s="3">
        <f t="shared" si="2"/>
        <v>5.2309646520096287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</row>
    <row r="47" spans="1:38" x14ac:dyDescent="0.25">
      <c r="A47" s="3">
        <v>5.1999999999999975</v>
      </c>
      <c r="B47" s="3"/>
      <c r="C47" s="3">
        <f t="shared" si="2"/>
        <v>5.2132946961706388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</row>
    <row r="48" spans="1:38" x14ac:dyDescent="0.25">
      <c r="A48" s="3">
        <v>5.4599999999999973</v>
      </c>
      <c r="B48" s="3"/>
      <c r="C48" s="3">
        <f t="shared" si="2"/>
        <v>5.1931050769719089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</row>
    <row r="49" spans="1:38" x14ac:dyDescent="0.25">
      <c r="A49" s="3">
        <v>5.7199999999999971</v>
      </c>
      <c r="B49" s="3"/>
      <c r="C49" s="3">
        <f t="shared" si="2"/>
        <v>5.1701825113578161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1:38" x14ac:dyDescent="0.25">
      <c r="A50" s="3">
        <v>5.9799999999999969</v>
      </c>
      <c r="B50" s="3"/>
      <c r="C50" s="3">
        <f t="shared" si="2"/>
        <v>5.1443068767281392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1:38" x14ac:dyDescent="0.25">
      <c r="A51" s="3">
        <v>6.2399999999999967</v>
      </c>
      <c r="B51" s="3"/>
      <c r="C51" s="3">
        <f t="shared" si="2"/>
        <v>5.1152513317555455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  <row r="52" spans="1:38" x14ac:dyDescent="0.25">
      <c r="A52" s="3">
        <v>6.4999999999999964</v>
      </c>
      <c r="B52" s="3"/>
      <c r="C52" s="3">
        <f t="shared" si="2"/>
        <v>5.0827824358954894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</row>
    <row r="53" spans="1:38" x14ac:dyDescent="0.25">
      <c r="A53" s="3">
        <v>6.7599999999999962</v>
      </c>
      <c r="B53" s="3"/>
      <c r="C53" s="3">
        <f t="shared" si="2"/>
        <v>5.0466602700929242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</row>
    <row r="54" spans="1:38" x14ac:dyDescent="0.25">
      <c r="A54" s="3">
        <v>7.019999999999996</v>
      </c>
      <c r="B54" s="3"/>
      <c r="C54" s="3">
        <f t="shared" si="2"/>
        <v>5.0066385619139799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</row>
    <row r="55" spans="1:38" x14ac:dyDescent="0.25">
      <c r="A55" s="3">
        <v>7.2799999999999958</v>
      </c>
      <c r="B55" s="3"/>
      <c r="C55" s="3">
        <f t="shared" si="2"/>
        <v>4.9624648194505472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</row>
    <row r="56" spans="1:38" x14ac:dyDescent="0.25">
      <c r="A56" s="3">
        <v>7.5399999999999956</v>
      </c>
      <c r="B56" s="3"/>
      <c r="C56" s="3">
        <f t="shared" si="2"/>
        <v>4.9138804800569265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</row>
    <row r="57" spans="1:38" x14ac:dyDescent="0.25">
      <c r="A57" s="3">
        <v>7.7999999999999954</v>
      </c>
      <c r="B57" s="3"/>
      <c r="C57" s="3">
        <f t="shared" si="2"/>
        <v>4.8606210825882945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</row>
    <row r="58" spans="1:38" x14ac:dyDescent="0.25">
      <c r="A58" s="3">
        <v>8.0599999999999952</v>
      </c>
      <c r="B58" s="3"/>
      <c r="C58" s="3">
        <f t="shared" si="2"/>
        <v>4.8024164758097179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</row>
    <row r="59" spans="1:38" x14ac:dyDescent="0.25">
      <c r="A59" s="3">
        <v>8.319999999999995</v>
      </c>
      <c r="B59" s="3"/>
      <c r="C59" s="3">
        <f t="shared" si="2"/>
        <v>4.7389910818153851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</row>
    <row r="60" spans="1:38" x14ac:dyDescent="0.25">
      <c r="A60" s="3">
        <v>8.5799999999999947</v>
      </c>
      <c r="B60" s="3"/>
      <c r="C60" s="3">
        <f t="shared" si="2"/>
        <v>4.6700642429084489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</row>
    <row r="61" spans="1:38" x14ac:dyDescent="0.25">
      <c r="A61" s="3">
        <v>8.8399999999999945</v>
      </c>
      <c r="B61" s="3"/>
      <c r="C61" s="3">
        <f t="shared" si="2"/>
        <v>4.5953506955172587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</row>
    <row r="62" spans="1:38" x14ac:dyDescent="0.25">
      <c r="A62" s="3">
        <v>9.0999999999999943</v>
      </c>
      <c r="B62" s="3"/>
      <c r="C62" s="3">
        <f t="shared" si="2"/>
        <v>4.5145612387959684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</row>
    <row r="63" spans="1:38" x14ac:dyDescent="0.25">
      <c r="A63" s="3">
        <v>9.3599999999999941</v>
      </c>
      <c r="B63" s="3"/>
      <c r="C63" s="3">
        <f t="shared" si="2"/>
        <v>4.4274037043189338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</row>
    <row r="64" spans="1:38" x14ac:dyDescent="0.25">
      <c r="A64" s="3">
        <v>9.6199999999999939</v>
      </c>
      <c r="B64" s="3"/>
      <c r="C64" s="3">
        <f t="shared" si="2"/>
        <v>4.3335843964416583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</row>
    <row r="65" spans="1:38" x14ac:dyDescent="0.25">
      <c r="A65" s="3">
        <v>9.8799999999999937</v>
      </c>
      <c r="B65" s="3"/>
      <c r="C65" s="3">
        <f t="shared" si="2"/>
        <v>4.2328102770657869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</row>
    <row r="66" spans="1:38" x14ac:dyDescent="0.25">
      <c r="A66" s="3">
        <v>10.139999999999993</v>
      </c>
      <c r="B66" s="3"/>
      <c r="C66" s="3">
        <f t="shared" si="2"/>
        <v>4.1247923423460886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</row>
    <row r="67" spans="1:38" x14ac:dyDescent="0.25">
      <c r="A67" s="3">
        <v>10.399999999999993</v>
      </c>
      <c r="B67" s="3"/>
      <c r="C67" s="3">
        <f t="shared" si="2"/>
        <v>4.0092509320694871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</row>
    <row r="68" spans="1:38" x14ac:dyDescent="0.25">
      <c r="A68" s="3">
        <v>10.659999999999993</v>
      </c>
      <c r="B68" s="3"/>
      <c r="C68" s="3">
        <f t="shared" si="2"/>
        <v>3.885924211822005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</row>
    <row r="69" spans="1:38" x14ac:dyDescent="0.25">
      <c r="A69" s="3">
        <v>10.919999999999993</v>
      </c>
      <c r="B69" s="3"/>
      <c r="C69" s="3">
        <f t="shared" si="2"/>
        <v>3.7545819247850813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</row>
    <row r="70" spans="1:38" x14ac:dyDescent="0.25">
      <c r="A70" s="3">
        <v>11.179999999999993</v>
      </c>
      <c r="B70" s="3"/>
      <c r="C70" s="3">
        <f t="shared" si="2"/>
        <v>3.6150479840404812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</row>
    <row r="71" spans="1:38" x14ac:dyDescent="0.25">
      <c r="A71" s="3">
        <v>11.439999999999992</v>
      </c>
      <c r="B71" s="3"/>
      <c r="C71" s="3">
        <f t="shared" si="2"/>
        <v>3.4672380005908332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</row>
    <row r="72" spans="1:38" x14ac:dyDescent="0.25">
      <c r="A72" s="3">
        <v>11.699999999999992</v>
      </c>
      <c r="B72" s="3"/>
      <c r="C72" s="3">
        <f t="shared" si="2"/>
        <v>3.3112220857384571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</row>
    <row r="73" spans="1:38" x14ac:dyDescent="0.25">
      <c r="A73" s="3">
        <v>11.959999999999992</v>
      </c>
      <c r="B73" s="3"/>
      <c r="C73" s="3">
        <f t="shared" si="2"/>
        <v>3.1473300788578529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</row>
    <row r="74" spans="1:38" x14ac:dyDescent="0.25">
      <c r="A74" s="3">
        <v>12.219999999999992</v>
      </c>
      <c r="B74" s="3"/>
      <c r="C74" s="3">
        <f t="shared" si="2"/>
        <v>2.9763261597805601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</row>
    <row r="75" spans="1:38" x14ac:dyDescent="0.25">
      <c r="A75" s="3">
        <v>12.479999999999992</v>
      </c>
      <c r="B75" s="3"/>
      <c r="C75" s="3">
        <f t="shared" si="2"/>
        <v>2.7996901477058502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</row>
    <row r="76" spans="1:38" x14ac:dyDescent="0.25">
      <c r="A76" s="3">
        <v>12.739999999999991</v>
      </c>
      <c r="B76" s="3"/>
      <c r="C76" s="3">
        <f t="shared" si="2"/>
        <v>2.6200408482931943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</row>
    <row r="77" spans="1:38" x14ac:dyDescent="0.25">
      <c r="A77" s="3">
        <v>12.999999999999991</v>
      </c>
      <c r="B77" s="3"/>
      <c r="C77" s="3">
        <f t="shared" si="2"/>
        <v>2.4416829089400558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</row>
    <row r="78" spans="1:38" x14ac:dyDescent="0.25">
      <c r="A78" s="3">
        <v>13.259999999999991</v>
      </c>
      <c r="B78" s="3"/>
      <c r="C78" s="3">
        <f t="shared" si="2"/>
        <v>2.2710714361531106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</row>
    <row r="79" spans="1:38" x14ac:dyDescent="0.25">
      <c r="A79" s="3">
        <v>13.519999999999991</v>
      </c>
      <c r="B79" s="3"/>
      <c r="C79" s="3">
        <f t="shared" si="2"/>
        <v>2.1166154243024993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</row>
    <row r="80" spans="1:38" x14ac:dyDescent="0.25">
      <c r="A80" s="3">
        <v>13.77999999999999</v>
      </c>
      <c r="B80" s="3"/>
      <c r="C80" s="3">
        <f t="shared" si="2"/>
        <v>1.9869875209609547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</row>
    <row r="81" spans="1:38" x14ac:dyDescent="0.25">
      <c r="A81" s="3">
        <v>14.03999999999999</v>
      </c>
      <c r="B81" s="3"/>
      <c r="C81" s="3">
        <f t="shared" si="2"/>
        <v>1.8879201792956879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</row>
    <row r="82" spans="1:38" x14ac:dyDescent="0.25">
      <c r="A82" s="3">
        <v>14.29999999999999</v>
      </c>
      <c r="B82" s="3"/>
      <c r="C82" s="3">
        <f t="shared" si="2"/>
        <v>1.8195252943241498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</row>
    <row r="83" spans="1:38" x14ac:dyDescent="0.25">
      <c r="A83" s="3">
        <v>14.55999999999999</v>
      </c>
      <c r="B83" s="3"/>
      <c r="C83" s="3">
        <f t="shared" si="2"/>
        <v>1.7766646222893205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</row>
    <row r="84" spans="1:38" x14ac:dyDescent="0.25">
      <c r="A84" s="3">
        <v>14.81999999999999</v>
      </c>
      <c r="B84" s="3"/>
      <c r="C84" s="3">
        <f t="shared" si="2"/>
        <v>1.7519490630884504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</row>
    <row r="85" spans="1:38" x14ac:dyDescent="0.25">
      <c r="A85" s="3">
        <v>15.079999999999989</v>
      </c>
      <c r="B85" s="3"/>
      <c r="C85" s="3">
        <f t="shared" si="2"/>
        <v>1.7386290204260129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</row>
    <row r="86" spans="1:38" x14ac:dyDescent="0.25">
      <c r="A86" s="3">
        <v>15.339999999999989</v>
      </c>
      <c r="B86" s="3"/>
      <c r="C86" s="3">
        <f t="shared" si="2"/>
        <v>1.7318351860427104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</row>
    <row r="87" spans="1:38" x14ac:dyDescent="0.25">
      <c r="A87" s="3">
        <v>15.599999999999989</v>
      </c>
      <c r="B87" s="3"/>
      <c r="C87" s="3">
        <f t="shared" si="2"/>
        <v>1.728528744755703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</row>
    <row r="88" spans="1:38" x14ac:dyDescent="0.25">
      <c r="A88" s="3">
        <v>15.859999999999989</v>
      </c>
      <c r="B88" s="3"/>
      <c r="C88" s="3">
        <f t="shared" si="2"/>
        <v>1.726986283989238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</row>
    <row r="89" spans="1:38" x14ac:dyDescent="0.25">
      <c r="A89" s="3">
        <v>16.11999999999999</v>
      </c>
      <c r="B89" s="3"/>
      <c r="C89" s="3">
        <f t="shared" si="2"/>
        <v>1.7262951333352532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</row>
    <row r="90" spans="1:38" x14ac:dyDescent="0.25">
      <c r="A90" s="3">
        <v>16.379999999999992</v>
      </c>
      <c r="B90" s="3"/>
      <c r="C90" s="3">
        <f t="shared" si="2"/>
        <v>1.7259974908091402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</row>
    <row r="91" spans="1:38" x14ac:dyDescent="0.25">
      <c r="A91" s="3">
        <v>16.639999999999993</v>
      </c>
      <c r="B91" s="3"/>
      <c r="C91" s="3">
        <f t="shared" si="2"/>
        <v>1.7258743259224296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</row>
    <row r="92" spans="1:38" x14ac:dyDescent="0.25">
      <c r="A92" s="3">
        <v>16.899999999999995</v>
      </c>
      <c r="B92" s="3"/>
      <c r="C92" s="3">
        <f t="shared" ref="C92:C126" si="3">LOG((10^$G$5-10^$G$2)*10^(-1*((A92/$G$3)^$G$4))+10^$G$2)</f>
        <v>1.7258253851806795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</row>
    <row r="93" spans="1:38" x14ac:dyDescent="0.25">
      <c r="A93" s="3">
        <v>17.159999999999997</v>
      </c>
      <c r="B93" s="3"/>
      <c r="C93" s="3">
        <f t="shared" si="3"/>
        <v>1.7258067267419843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</row>
    <row r="94" spans="1:38" x14ac:dyDescent="0.25">
      <c r="A94" s="3">
        <v>17.419999999999998</v>
      </c>
      <c r="B94" s="3"/>
      <c r="C94" s="3">
        <f t="shared" si="3"/>
        <v>1.7257999083076427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</row>
    <row r="95" spans="1:38" x14ac:dyDescent="0.25">
      <c r="A95" s="3">
        <v>17.68</v>
      </c>
      <c r="B95" s="3"/>
      <c r="C95" s="3">
        <f t="shared" si="3"/>
        <v>1.7257975223710444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</row>
    <row r="96" spans="1:38" x14ac:dyDescent="0.25">
      <c r="A96" s="3">
        <v>17.940000000000001</v>
      </c>
      <c r="B96" s="3"/>
      <c r="C96" s="3">
        <f t="shared" si="3"/>
        <v>1.725796723741164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</row>
    <row r="97" spans="1:38" x14ac:dyDescent="0.25">
      <c r="A97" s="3">
        <v>18.200000000000003</v>
      </c>
      <c r="B97" s="3"/>
      <c r="C97" s="3">
        <f t="shared" si="3"/>
        <v>1.7257964683039784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</row>
    <row r="98" spans="1:38" x14ac:dyDescent="0.25">
      <c r="A98" s="3">
        <v>18.460000000000004</v>
      </c>
      <c r="B98" s="3"/>
      <c r="C98" s="3">
        <f t="shared" si="3"/>
        <v>1.7257963903195292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</row>
    <row r="99" spans="1:38" x14ac:dyDescent="0.25">
      <c r="A99" s="3">
        <v>18.720000000000006</v>
      </c>
      <c r="B99" s="3"/>
      <c r="C99" s="3">
        <f t="shared" si="3"/>
        <v>1.7257963676185093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</row>
    <row r="100" spans="1:38" x14ac:dyDescent="0.25">
      <c r="A100" s="3">
        <v>18.980000000000008</v>
      </c>
      <c r="B100" s="3"/>
      <c r="C100" s="3">
        <f t="shared" si="3"/>
        <v>1.725796361324615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</row>
    <row r="101" spans="1:38" x14ac:dyDescent="0.25">
      <c r="A101" s="3">
        <v>19.240000000000009</v>
      </c>
      <c r="B101" s="3"/>
      <c r="C101" s="3">
        <f t="shared" si="3"/>
        <v>1.7257963596644601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</row>
    <row r="102" spans="1:38" x14ac:dyDescent="0.25">
      <c r="A102" s="3">
        <v>19.500000000000011</v>
      </c>
      <c r="B102" s="3"/>
      <c r="C102" s="3">
        <f t="shared" si="3"/>
        <v>1.725796359248313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</row>
    <row r="103" spans="1:38" x14ac:dyDescent="0.25">
      <c r="A103" s="3">
        <v>19.760000000000012</v>
      </c>
      <c r="B103" s="3"/>
      <c r="C103" s="3">
        <f t="shared" si="3"/>
        <v>1.7257963591492931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</row>
    <row r="104" spans="1:38" x14ac:dyDescent="0.25">
      <c r="A104" s="3">
        <v>20.020000000000014</v>
      </c>
      <c r="B104" s="3"/>
      <c r="C104" s="3">
        <f t="shared" si="3"/>
        <v>1.7257963591269532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</row>
    <row r="105" spans="1:38" x14ac:dyDescent="0.25">
      <c r="A105" s="3">
        <v>20.280000000000015</v>
      </c>
      <c r="B105" s="3"/>
      <c r="C105" s="3">
        <f t="shared" si="3"/>
        <v>1.7257963591221799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</row>
    <row r="106" spans="1:38" x14ac:dyDescent="0.25">
      <c r="A106" s="3">
        <v>20.540000000000017</v>
      </c>
      <c r="B106" s="3"/>
      <c r="C106" s="3">
        <f t="shared" si="3"/>
        <v>1.7257963591212151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</row>
    <row r="107" spans="1:38" x14ac:dyDescent="0.25">
      <c r="A107" s="3">
        <v>20.800000000000018</v>
      </c>
      <c r="B107" s="3"/>
      <c r="C107" s="3">
        <f t="shared" si="3"/>
        <v>1.7257963591210308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</row>
    <row r="108" spans="1:38" x14ac:dyDescent="0.25">
      <c r="A108" s="3">
        <v>21.06000000000002</v>
      </c>
      <c r="B108" s="3"/>
      <c r="C108" s="3">
        <f t="shared" si="3"/>
        <v>1.7257963591209977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</row>
    <row r="109" spans="1:38" x14ac:dyDescent="0.25">
      <c r="A109" s="3">
        <v>21.320000000000022</v>
      </c>
      <c r="B109" s="3"/>
      <c r="C109" s="3">
        <f t="shared" si="3"/>
        <v>1.7257963591209919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</row>
    <row r="110" spans="1:38" x14ac:dyDescent="0.25">
      <c r="A110" s="3">
        <v>21.580000000000023</v>
      </c>
      <c r="B110" s="3"/>
      <c r="C110" s="3">
        <f t="shared" si="3"/>
        <v>1.7257963591209911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</row>
    <row r="111" spans="1:38" x14ac:dyDescent="0.25">
      <c r="A111" s="3">
        <v>21.840000000000025</v>
      </c>
      <c r="B111" s="3"/>
      <c r="C111" s="3">
        <f t="shared" si="3"/>
        <v>1.7257963591209911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</row>
    <row r="112" spans="1:38" x14ac:dyDescent="0.25">
      <c r="A112" s="3">
        <v>22.100000000000026</v>
      </c>
      <c r="B112" s="3"/>
      <c r="C112" s="3">
        <f t="shared" si="3"/>
        <v>1.7257963591209911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</row>
    <row r="113" spans="1:38" x14ac:dyDescent="0.25">
      <c r="A113" s="3">
        <v>22.360000000000028</v>
      </c>
      <c r="B113" s="3"/>
      <c r="C113" s="3">
        <f t="shared" si="3"/>
        <v>1.7257963591209911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</row>
    <row r="114" spans="1:38" x14ac:dyDescent="0.25">
      <c r="A114" s="3">
        <v>22.620000000000029</v>
      </c>
      <c r="B114" s="3"/>
      <c r="C114" s="3">
        <f t="shared" si="3"/>
        <v>1.7257963591209911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</row>
    <row r="115" spans="1:38" x14ac:dyDescent="0.25">
      <c r="A115" s="3">
        <v>22.880000000000031</v>
      </c>
      <c r="B115" s="3"/>
      <c r="C115" s="3">
        <f t="shared" si="3"/>
        <v>1.7257963591209911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</row>
    <row r="116" spans="1:38" x14ac:dyDescent="0.25">
      <c r="A116" s="3">
        <v>23.140000000000033</v>
      </c>
      <c r="B116" s="3"/>
      <c r="C116" s="3">
        <f t="shared" si="3"/>
        <v>1.7257963591209911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</row>
    <row r="117" spans="1:38" x14ac:dyDescent="0.25">
      <c r="A117" s="3">
        <v>23.400000000000034</v>
      </c>
      <c r="B117" s="3"/>
      <c r="C117" s="3">
        <f t="shared" si="3"/>
        <v>1.7257963591209911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</row>
    <row r="118" spans="1:38" x14ac:dyDescent="0.25">
      <c r="A118" s="3">
        <v>23.660000000000036</v>
      </c>
      <c r="B118" s="3"/>
      <c r="C118" s="3">
        <f t="shared" si="3"/>
        <v>1.7257963591209911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</row>
    <row r="119" spans="1:38" x14ac:dyDescent="0.25">
      <c r="A119" s="3">
        <v>23.920000000000037</v>
      </c>
      <c r="B119" s="3"/>
      <c r="C119" s="3">
        <f t="shared" si="3"/>
        <v>1.7257963591209911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</row>
    <row r="120" spans="1:38" x14ac:dyDescent="0.25">
      <c r="A120" s="3">
        <v>24.180000000000039</v>
      </c>
      <c r="B120" s="3"/>
      <c r="C120" s="3">
        <f t="shared" si="3"/>
        <v>1.7257963591209911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</row>
    <row r="121" spans="1:38" x14ac:dyDescent="0.25">
      <c r="A121" s="3">
        <v>24.44000000000004</v>
      </c>
      <c r="B121" s="3"/>
      <c r="C121" s="3">
        <f t="shared" si="3"/>
        <v>1.7257963591209911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</row>
    <row r="122" spans="1:38" x14ac:dyDescent="0.25">
      <c r="A122" s="3">
        <v>24.700000000000042</v>
      </c>
      <c r="B122" s="3"/>
      <c r="C122" s="3">
        <f t="shared" si="3"/>
        <v>1.7257963591209911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</row>
    <row r="123" spans="1:38" x14ac:dyDescent="0.25">
      <c r="A123" s="3">
        <v>24.960000000000043</v>
      </c>
      <c r="B123" s="3"/>
      <c r="C123" s="3">
        <f t="shared" si="3"/>
        <v>1.7257963591209911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</row>
    <row r="124" spans="1:38" x14ac:dyDescent="0.25">
      <c r="A124" s="3">
        <v>25.220000000000045</v>
      </c>
      <c r="B124" s="3"/>
      <c r="C124" s="3">
        <f t="shared" si="3"/>
        <v>1.7257963591209911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</row>
    <row r="125" spans="1:38" x14ac:dyDescent="0.25">
      <c r="A125" s="3">
        <v>25.480000000000047</v>
      </c>
      <c r="B125" s="3"/>
      <c r="C125" s="3">
        <f t="shared" si="3"/>
        <v>1.7257963591209911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</row>
    <row r="126" spans="1:38" x14ac:dyDescent="0.25">
      <c r="A126" s="3">
        <v>25.740000000000048</v>
      </c>
      <c r="B126" s="3"/>
      <c r="C126" s="3">
        <f t="shared" si="3"/>
        <v>1.7257963591209911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</row>
  </sheetData>
  <mergeCells count="1">
    <mergeCell ref="F12:L14"/>
  </mergeCells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zoomScale="80" zoomScaleNormal="80" workbookViewId="0"/>
  </sheetViews>
  <sheetFormatPr defaultRowHeight="15" x14ac:dyDescent="0.25"/>
  <cols>
    <col min="1" max="1" width="9.140625" style="4"/>
    <col min="2" max="2" width="10.5703125" style="4" bestFit="1" customWidth="1"/>
    <col min="3" max="3" width="11.42578125" style="4" bestFit="1" customWidth="1"/>
    <col min="4" max="4" width="13.7109375" style="4" bestFit="1" customWidth="1"/>
    <col min="5" max="16384" width="9.140625" style="4"/>
  </cols>
  <sheetData>
    <row r="1" spans="1:6" x14ac:dyDescent="0.25">
      <c r="A1" s="4" t="s">
        <v>2</v>
      </c>
      <c r="B1" s="4" t="s">
        <v>6</v>
      </c>
      <c r="C1" s="4" t="s">
        <v>44</v>
      </c>
      <c r="D1" s="4" t="s">
        <v>40</v>
      </c>
      <c r="E1" s="4" t="s">
        <v>0</v>
      </c>
      <c r="F1" s="4" t="s">
        <v>1</v>
      </c>
    </row>
    <row r="2" spans="1:6" x14ac:dyDescent="0.25">
      <c r="A2" s="4">
        <v>13136</v>
      </c>
      <c r="B2" s="4" t="s">
        <v>3</v>
      </c>
      <c r="C2" s="4" t="s">
        <v>43</v>
      </c>
      <c r="D2" s="4" t="s">
        <v>41</v>
      </c>
      <c r="E2" s="3">
        <v>0</v>
      </c>
      <c r="F2" s="6">
        <f>LOG10(5.5*10^5)</f>
        <v>5.7403626894942441</v>
      </c>
    </row>
    <row r="3" spans="1:6" x14ac:dyDescent="0.25">
      <c r="A3" s="4">
        <v>13136</v>
      </c>
      <c r="B3" s="4" t="s">
        <v>3</v>
      </c>
      <c r="C3" s="4" t="s">
        <v>43</v>
      </c>
      <c r="D3" s="4" t="s">
        <v>41</v>
      </c>
      <c r="E3" s="3">
        <v>10</v>
      </c>
      <c r="F3" s="6">
        <f>LOG10(1.23*10^3)</f>
        <v>3.0899051114393981</v>
      </c>
    </row>
    <row r="4" spans="1:6" x14ac:dyDescent="0.25">
      <c r="A4" s="4">
        <v>13136</v>
      </c>
      <c r="B4" s="4" t="s">
        <v>3</v>
      </c>
      <c r="C4" s="4" t="s">
        <v>43</v>
      </c>
      <c r="D4" s="4" t="s">
        <v>41</v>
      </c>
      <c r="E4" s="3">
        <v>12</v>
      </c>
      <c r="F4" s="6">
        <f>LOG10(8.7*10^2)</f>
        <v>2.9395192526186187</v>
      </c>
    </row>
    <row r="5" spans="1:6" x14ac:dyDescent="0.25">
      <c r="A5" s="4">
        <v>13136</v>
      </c>
      <c r="B5" s="4" t="s">
        <v>3</v>
      </c>
      <c r="C5" s="4" t="s">
        <v>43</v>
      </c>
      <c r="D5" s="4" t="s">
        <v>41</v>
      </c>
      <c r="E5" s="3">
        <v>14</v>
      </c>
      <c r="F5" s="6">
        <f>LOG10(4*10^2)</f>
        <v>2.6020599913279625</v>
      </c>
    </row>
    <row r="6" spans="1:6" x14ac:dyDescent="0.25">
      <c r="A6" s="4">
        <v>13136</v>
      </c>
      <c r="B6" s="4" t="s">
        <v>3</v>
      </c>
      <c r="C6" s="4" t="s">
        <v>43</v>
      </c>
      <c r="D6" s="4" t="s">
        <v>41</v>
      </c>
      <c r="E6" s="3">
        <v>16</v>
      </c>
      <c r="F6" s="6">
        <f>LOG10(0.65*10^2)</f>
        <v>1.8129133566428555</v>
      </c>
    </row>
    <row r="7" spans="1:6" x14ac:dyDescent="0.25">
      <c r="A7" s="4">
        <v>13136</v>
      </c>
      <c r="B7" s="4" t="s">
        <v>3</v>
      </c>
      <c r="C7" s="4" t="s">
        <v>43</v>
      </c>
      <c r="D7" s="4" t="s">
        <v>41</v>
      </c>
      <c r="E7" s="3">
        <v>18</v>
      </c>
      <c r="F7" s="6">
        <f>LOG10(3.15*10^2)</f>
        <v>2.4983105537896004</v>
      </c>
    </row>
    <row r="8" spans="1:6" x14ac:dyDescent="0.25">
      <c r="A8" s="4">
        <v>13136</v>
      </c>
      <c r="B8" s="4" t="s">
        <v>3</v>
      </c>
      <c r="C8" s="4" t="s">
        <v>43</v>
      </c>
      <c r="D8" s="4" t="s">
        <v>41</v>
      </c>
      <c r="E8" s="3">
        <v>20</v>
      </c>
      <c r="F8" s="6">
        <f>LOG10(2.5*10^2)</f>
        <v>2.3979400086720375</v>
      </c>
    </row>
    <row r="9" spans="1:6" x14ac:dyDescent="0.25">
      <c r="A9" s="4">
        <v>13136</v>
      </c>
      <c r="B9" s="4" t="s">
        <v>3</v>
      </c>
      <c r="C9" s="4" t="s">
        <v>43</v>
      </c>
      <c r="D9" s="4" t="s">
        <v>41</v>
      </c>
      <c r="E9" s="3">
        <v>22</v>
      </c>
      <c r="F9" s="6">
        <f>LOG10(1.85*10^2)</f>
        <v>2.2671717284030137</v>
      </c>
    </row>
    <row r="10" spans="1:6" x14ac:dyDescent="0.25">
      <c r="A10" s="4">
        <v>13136</v>
      </c>
      <c r="B10" s="4" t="s">
        <v>3</v>
      </c>
      <c r="C10" s="4" t="s">
        <v>43</v>
      </c>
      <c r="D10" s="4" t="s">
        <v>41</v>
      </c>
      <c r="E10" s="3">
        <v>26</v>
      </c>
      <c r="F10" s="6">
        <f>LOG10(0.3*10^2)</f>
        <v>1.4771212547196624</v>
      </c>
    </row>
    <row r="11" spans="1:6" x14ac:dyDescent="0.25">
      <c r="A11" s="4">
        <v>13136</v>
      </c>
      <c r="B11" s="4" t="s">
        <v>4</v>
      </c>
      <c r="C11" s="4" t="s">
        <v>43</v>
      </c>
      <c r="D11" s="4" t="s">
        <v>41</v>
      </c>
      <c r="E11" s="3">
        <v>0</v>
      </c>
      <c r="F11" s="6">
        <f>LOG10(1.37*10^5)</f>
        <v>5.1367205671564067</v>
      </c>
    </row>
    <row r="12" spans="1:6" x14ac:dyDescent="0.25">
      <c r="A12" s="4">
        <v>13136</v>
      </c>
      <c r="B12" s="4" t="s">
        <v>4</v>
      </c>
      <c r="C12" s="4" t="s">
        <v>43</v>
      </c>
      <c r="D12" s="4" t="s">
        <v>41</v>
      </c>
      <c r="E12" s="3">
        <v>10</v>
      </c>
      <c r="F12" s="6">
        <f>LOG10(9*10^4)</f>
        <v>4.9542425094393252</v>
      </c>
    </row>
    <row r="13" spans="1:6" x14ac:dyDescent="0.25">
      <c r="A13" s="4">
        <v>13136</v>
      </c>
      <c r="B13" s="4" t="s">
        <v>4</v>
      </c>
      <c r="C13" s="4" t="s">
        <v>43</v>
      </c>
      <c r="D13" s="4" t="s">
        <v>41</v>
      </c>
      <c r="E13" s="3">
        <v>12</v>
      </c>
      <c r="F13" s="6">
        <f>LOG10(8.7*10^2)</f>
        <v>2.9395192526186187</v>
      </c>
    </row>
    <row r="14" spans="1:6" x14ac:dyDescent="0.25">
      <c r="A14" s="4">
        <v>13136</v>
      </c>
      <c r="B14" s="4" t="s">
        <v>4</v>
      </c>
      <c r="C14" s="4" t="s">
        <v>43</v>
      </c>
      <c r="D14" s="4" t="s">
        <v>41</v>
      </c>
      <c r="E14" s="3">
        <v>14</v>
      </c>
      <c r="F14" s="6">
        <f>LOG10(0.15*10^2)</f>
        <v>1.1760912590556813</v>
      </c>
    </row>
    <row r="15" spans="1:6" x14ac:dyDescent="0.25">
      <c r="A15" s="4">
        <v>13136</v>
      </c>
      <c r="B15" s="4" t="s">
        <v>4</v>
      </c>
      <c r="C15" s="4" t="s">
        <v>43</v>
      </c>
      <c r="D15" s="4" t="s">
        <v>41</v>
      </c>
      <c r="E15" s="3">
        <v>16</v>
      </c>
      <c r="F15" s="6">
        <f>LOG10(0.15*10^2)</f>
        <v>1.1760912590556813</v>
      </c>
    </row>
    <row r="16" spans="1:6" x14ac:dyDescent="0.25">
      <c r="A16" s="4">
        <v>13136</v>
      </c>
      <c r="B16" s="4" t="s">
        <v>4</v>
      </c>
      <c r="C16" s="4" t="s">
        <v>43</v>
      </c>
      <c r="D16" s="4" t="s">
        <v>41</v>
      </c>
      <c r="E16" s="3">
        <v>18</v>
      </c>
      <c r="F16" s="6">
        <f>LOG10(0.35*10^2)</f>
        <v>1.5440680443502757</v>
      </c>
    </row>
    <row r="17" spans="1:6" x14ac:dyDescent="0.25">
      <c r="A17" s="4">
        <v>13136</v>
      </c>
      <c r="B17" s="4" t="s">
        <v>4</v>
      </c>
      <c r="C17" s="4" t="s">
        <v>43</v>
      </c>
      <c r="D17" s="4" t="s">
        <v>41</v>
      </c>
      <c r="E17" s="3">
        <v>26</v>
      </c>
      <c r="F17" s="6">
        <f>LOG10(0.85*10^2)</f>
        <v>1.9294189257142926</v>
      </c>
    </row>
    <row r="18" spans="1:6" x14ac:dyDescent="0.25">
      <c r="A18" s="4">
        <v>13136</v>
      </c>
      <c r="B18" s="4" t="s">
        <v>5</v>
      </c>
      <c r="C18" s="4" t="s">
        <v>43</v>
      </c>
      <c r="D18" s="4" t="s">
        <v>41</v>
      </c>
      <c r="E18" s="3">
        <v>0</v>
      </c>
      <c r="F18" s="6">
        <f>LOG10(1.2*10^5)</f>
        <v>5.0791812460476251</v>
      </c>
    </row>
    <row r="19" spans="1:6" x14ac:dyDescent="0.25">
      <c r="A19" s="4">
        <v>13136</v>
      </c>
      <c r="B19" s="4" t="s">
        <v>5</v>
      </c>
      <c r="C19" s="4" t="s">
        <v>43</v>
      </c>
      <c r="D19" s="4" t="s">
        <v>41</v>
      </c>
      <c r="E19" s="3">
        <v>10</v>
      </c>
      <c r="F19" s="6">
        <f>LOG10(3*10^4)</f>
        <v>4.4771212547196626</v>
      </c>
    </row>
    <row r="20" spans="1:6" x14ac:dyDescent="0.25">
      <c r="A20" s="4">
        <v>13136</v>
      </c>
      <c r="B20" s="4" t="s">
        <v>5</v>
      </c>
      <c r="C20" s="4" t="s">
        <v>43</v>
      </c>
      <c r="D20" s="4" t="s">
        <v>41</v>
      </c>
      <c r="E20" s="3">
        <v>12</v>
      </c>
      <c r="F20" s="6">
        <f>LOG10(3.3*10^3)</f>
        <v>3.5185139398778875</v>
      </c>
    </row>
    <row r="21" spans="1:6" x14ac:dyDescent="0.25">
      <c r="A21" s="4">
        <v>13136</v>
      </c>
      <c r="B21" s="4" t="s">
        <v>5</v>
      </c>
      <c r="C21" s="4" t="s">
        <v>43</v>
      </c>
      <c r="D21" s="4" t="s">
        <v>41</v>
      </c>
      <c r="E21" s="3">
        <v>18</v>
      </c>
      <c r="F21" s="6">
        <f>LOG10(0.35*10^2)</f>
        <v>1.5440680443502757</v>
      </c>
    </row>
    <row r="22" spans="1:6" x14ac:dyDescent="0.25">
      <c r="A22" s="4">
        <v>13136</v>
      </c>
      <c r="B22" s="4" t="s">
        <v>5</v>
      </c>
      <c r="C22" s="4" t="s">
        <v>43</v>
      </c>
      <c r="D22" s="4" t="s">
        <v>41</v>
      </c>
      <c r="E22" s="3">
        <v>22</v>
      </c>
      <c r="F22" s="6">
        <f>LOG10(0.15*10^2)</f>
        <v>1.1760912590556813</v>
      </c>
    </row>
    <row r="23" spans="1:6" x14ac:dyDescent="0.25">
      <c r="A23" s="4">
        <v>13136</v>
      </c>
      <c r="B23" s="4" t="s">
        <v>5</v>
      </c>
      <c r="C23" s="4" t="s">
        <v>43</v>
      </c>
      <c r="D23" s="4" t="s">
        <v>41</v>
      </c>
      <c r="E23" s="3">
        <v>26</v>
      </c>
      <c r="F23" s="6">
        <f>LOG10(0.15*10^2)</f>
        <v>1.1760912590556813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7"/>
  <sheetViews>
    <sheetView zoomScale="80" zoomScaleNormal="80" workbookViewId="0"/>
  </sheetViews>
  <sheetFormatPr defaultRowHeight="15" x14ac:dyDescent="0.25"/>
  <cols>
    <col min="1" max="1" width="9.140625" style="7"/>
    <col min="2" max="2" width="11.7109375" style="7" bestFit="1" customWidth="1"/>
    <col min="3" max="3" width="9.85546875" style="7" bestFit="1" customWidth="1"/>
    <col min="4" max="4" width="12.5703125" style="7" bestFit="1" customWidth="1"/>
    <col min="5" max="16384" width="9.140625" style="7"/>
  </cols>
  <sheetData>
    <row r="1" spans="1:4" x14ac:dyDescent="0.25">
      <c r="A1" s="7" t="s">
        <v>2</v>
      </c>
      <c r="B1" s="7" t="s">
        <v>44</v>
      </c>
      <c r="C1" s="7" t="s">
        <v>0</v>
      </c>
      <c r="D1" s="7" t="s">
        <v>40</v>
      </c>
    </row>
    <row r="2" spans="1:4" x14ac:dyDescent="0.25">
      <c r="A2" s="7">
        <v>12628</v>
      </c>
      <c r="B2" s="7" t="s">
        <v>43</v>
      </c>
      <c r="C2" s="8">
        <v>0</v>
      </c>
      <c r="D2" s="7">
        <v>24.7</v>
      </c>
    </row>
    <row r="3" spans="1:4" x14ac:dyDescent="0.25">
      <c r="A3" s="7">
        <v>12628</v>
      </c>
      <c r="B3" s="7" t="s">
        <v>43</v>
      </c>
      <c r="C3" s="8">
        <v>2</v>
      </c>
      <c r="D3" s="7">
        <v>26.3</v>
      </c>
    </row>
    <row r="4" spans="1:4" x14ac:dyDescent="0.25">
      <c r="A4" s="7">
        <v>12628</v>
      </c>
      <c r="B4" s="7" t="s">
        <v>43</v>
      </c>
      <c r="C4" s="8">
        <v>4</v>
      </c>
      <c r="D4" s="7">
        <v>32.5</v>
      </c>
    </row>
    <row r="5" spans="1:4" x14ac:dyDescent="0.25">
      <c r="A5" s="7">
        <v>12628</v>
      </c>
      <c r="B5" s="7" t="s">
        <v>43</v>
      </c>
      <c r="C5" s="8">
        <v>6</v>
      </c>
      <c r="D5" s="7">
        <v>40.200000000000003</v>
      </c>
    </row>
    <row r="6" spans="1:4" x14ac:dyDescent="0.25">
      <c r="A6" s="7">
        <v>12628</v>
      </c>
      <c r="B6" s="7" t="s">
        <v>43</v>
      </c>
      <c r="C6" s="8">
        <v>8</v>
      </c>
      <c r="D6" s="7">
        <v>47.6</v>
      </c>
    </row>
    <row r="7" spans="1:4" x14ac:dyDescent="0.25">
      <c r="A7" s="7">
        <v>12628</v>
      </c>
      <c r="B7" s="7" t="s">
        <v>43</v>
      </c>
      <c r="C7" s="8">
        <v>10</v>
      </c>
      <c r="D7" s="7">
        <v>54.5</v>
      </c>
    </row>
    <row r="8" spans="1:4" x14ac:dyDescent="0.25">
      <c r="A8" s="7">
        <v>12628</v>
      </c>
      <c r="B8" s="7" t="s">
        <v>43</v>
      </c>
      <c r="C8" s="8">
        <v>12</v>
      </c>
      <c r="D8" s="7">
        <v>60.8</v>
      </c>
    </row>
    <row r="9" spans="1:4" x14ac:dyDescent="0.25">
      <c r="A9" s="7">
        <v>12628</v>
      </c>
      <c r="B9" s="7" t="s">
        <v>43</v>
      </c>
      <c r="C9" s="8">
        <v>14</v>
      </c>
      <c r="D9" s="7">
        <v>65.900000000000006</v>
      </c>
    </row>
    <row r="10" spans="1:4" x14ac:dyDescent="0.25">
      <c r="A10" s="7">
        <v>12628</v>
      </c>
      <c r="B10" s="7" t="s">
        <v>43</v>
      </c>
      <c r="C10" s="8">
        <v>16</v>
      </c>
      <c r="D10" s="7">
        <v>69.2</v>
      </c>
    </row>
    <row r="11" spans="1:4" x14ac:dyDescent="0.25">
      <c r="A11" s="7">
        <v>12628</v>
      </c>
      <c r="B11" s="7" t="s">
        <v>43</v>
      </c>
      <c r="C11" s="8">
        <v>18</v>
      </c>
      <c r="D11" s="7">
        <v>70.8</v>
      </c>
    </row>
    <row r="12" spans="1:4" x14ac:dyDescent="0.25">
      <c r="A12" s="7">
        <v>12628</v>
      </c>
      <c r="B12" s="7" t="s">
        <v>43</v>
      </c>
      <c r="C12" s="8">
        <v>20</v>
      </c>
      <c r="D12" s="7">
        <v>71.099999999999994</v>
      </c>
    </row>
    <row r="13" spans="1:4" x14ac:dyDescent="0.25">
      <c r="A13" s="7">
        <v>12628</v>
      </c>
      <c r="B13" s="7" t="s">
        <v>43</v>
      </c>
      <c r="C13" s="8">
        <v>22</v>
      </c>
      <c r="D13" s="7">
        <v>71.099999999999994</v>
      </c>
    </row>
    <row r="14" spans="1:4" x14ac:dyDescent="0.25">
      <c r="A14" s="7">
        <v>12628</v>
      </c>
      <c r="B14" s="7" t="s">
        <v>42</v>
      </c>
      <c r="C14" s="8">
        <v>0</v>
      </c>
      <c r="D14" s="7">
        <v>24.8</v>
      </c>
    </row>
    <row r="15" spans="1:4" x14ac:dyDescent="0.25">
      <c r="A15" s="7">
        <v>12628</v>
      </c>
      <c r="B15" s="7" t="s">
        <v>42</v>
      </c>
      <c r="C15" s="8">
        <v>2</v>
      </c>
      <c r="D15" s="7">
        <v>26</v>
      </c>
    </row>
    <row r="16" spans="1:4" x14ac:dyDescent="0.25">
      <c r="A16" s="7">
        <v>12628</v>
      </c>
      <c r="B16" s="7" t="s">
        <v>42</v>
      </c>
      <c r="C16" s="8">
        <v>4</v>
      </c>
      <c r="D16" s="7">
        <v>32.4</v>
      </c>
    </row>
    <row r="17" spans="1:4" x14ac:dyDescent="0.25">
      <c r="A17" s="7">
        <v>12628</v>
      </c>
      <c r="B17" s="7" t="s">
        <v>42</v>
      </c>
      <c r="C17" s="8">
        <v>6</v>
      </c>
      <c r="D17" s="7">
        <v>40.700000000000003</v>
      </c>
    </row>
    <row r="18" spans="1:4" x14ac:dyDescent="0.25">
      <c r="A18" s="7">
        <v>12628</v>
      </c>
      <c r="B18" s="7" t="s">
        <v>42</v>
      </c>
      <c r="C18" s="8">
        <v>8</v>
      </c>
      <c r="D18" s="7">
        <v>48.6</v>
      </c>
    </row>
    <row r="19" spans="1:4" x14ac:dyDescent="0.25">
      <c r="A19" s="7">
        <v>12628</v>
      </c>
      <c r="B19" s="7" t="s">
        <v>42</v>
      </c>
      <c r="C19" s="8">
        <v>10</v>
      </c>
      <c r="D19" s="7">
        <v>55.9</v>
      </c>
    </row>
    <row r="20" spans="1:4" x14ac:dyDescent="0.25">
      <c r="A20" s="7">
        <v>12628</v>
      </c>
      <c r="B20" s="7" t="s">
        <v>42</v>
      </c>
      <c r="C20" s="8">
        <v>12</v>
      </c>
      <c r="D20" s="7">
        <v>62.6</v>
      </c>
    </row>
    <row r="21" spans="1:4" x14ac:dyDescent="0.25">
      <c r="A21" s="7">
        <v>12628</v>
      </c>
      <c r="B21" s="7" t="s">
        <v>42</v>
      </c>
      <c r="C21" s="8">
        <v>14</v>
      </c>
      <c r="D21" s="7">
        <v>67.2</v>
      </c>
    </row>
    <row r="22" spans="1:4" x14ac:dyDescent="0.25">
      <c r="A22" s="7">
        <v>12628</v>
      </c>
      <c r="B22" s="7" t="s">
        <v>42</v>
      </c>
      <c r="C22" s="8">
        <v>16</v>
      </c>
      <c r="D22" s="7">
        <v>69.599999999999994</v>
      </c>
    </row>
    <row r="23" spans="1:4" x14ac:dyDescent="0.25">
      <c r="A23" s="7">
        <v>12628</v>
      </c>
      <c r="B23" s="7" t="s">
        <v>42</v>
      </c>
      <c r="C23" s="8">
        <v>18</v>
      </c>
      <c r="D23" s="7">
        <v>70.400000000000006</v>
      </c>
    </row>
    <row r="24" spans="1:4" x14ac:dyDescent="0.25">
      <c r="A24" s="7">
        <v>12628</v>
      </c>
      <c r="B24" s="7" t="s">
        <v>42</v>
      </c>
      <c r="C24" s="8">
        <v>20</v>
      </c>
      <c r="D24" s="7">
        <v>70.8</v>
      </c>
    </row>
    <row r="25" spans="1:4" x14ac:dyDescent="0.25">
      <c r="A25" s="7">
        <v>12628</v>
      </c>
      <c r="B25" s="7" t="s">
        <v>42</v>
      </c>
      <c r="C25" s="8">
        <v>22</v>
      </c>
      <c r="D25" s="7">
        <v>70.8</v>
      </c>
    </row>
    <row r="26" spans="1:4" x14ac:dyDescent="0.25">
      <c r="A26" s="7">
        <v>12662</v>
      </c>
      <c r="B26" s="7" t="s">
        <v>43</v>
      </c>
      <c r="C26" s="8">
        <v>0</v>
      </c>
      <c r="D26" s="7">
        <v>24.7</v>
      </c>
    </row>
    <row r="27" spans="1:4" x14ac:dyDescent="0.25">
      <c r="A27" s="7">
        <v>12662</v>
      </c>
      <c r="B27" s="7" t="s">
        <v>43</v>
      </c>
      <c r="C27" s="8">
        <v>2</v>
      </c>
      <c r="D27" s="7">
        <v>26.1</v>
      </c>
    </row>
    <row r="28" spans="1:4" x14ac:dyDescent="0.25">
      <c r="A28" s="7">
        <v>12662</v>
      </c>
      <c r="B28" s="7" t="s">
        <v>43</v>
      </c>
      <c r="C28" s="8">
        <v>4</v>
      </c>
      <c r="D28" s="7">
        <v>32.4</v>
      </c>
    </row>
    <row r="29" spans="1:4" x14ac:dyDescent="0.25">
      <c r="A29" s="7">
        <v>12662</v>
      </c>
      <c r="B29" s="7" t="s">
        <v>43</v>
      </c>
      <c r="C29" s="8">
        <v>6</v>
      </c>
      <c r="D29" s="7">
        <v>40.299999999999997</v>
      </c>
    </row>
    <row r="30" spans="1:4" x14ac:dyDescent="0.25">
      <c r="A30" s="7">
        <v>12662</v>
      </c>
      <c r="B30" s="7" t="s">
        <v>43</v>
      </c>
      <c r="C30" s="8">
        <v>8</v>
      </c>
      <c r="D30" s="7">
        <v>47.9</v>
      </c>
    </row>
    <row r="31" spans="1:4" x14ac:dyDescent="0.25">
      <c r="A31" s="7">
        <v>12662</v>
      </c>
      <c r="B31" s="7" t="s">
        <v>43</v>
      </c>
      <c r="C31" s="8">
        <v>10</v>
      </c>
      <c r="D31" s="7">
        <v>55.1</v>
      </c>
    </row>
    <row r="32" spans="1:4" x14ac:dyDescent="0.25">
      <c r="A32" s="7">
        <v>12662</v>
      </c>
      <c r="B32" s="7" t="s">
        <v>43</v>
      </c>
      <c r="C32" s="8">
        <v>12</v>
      </c>
      <c r="D32" s="7">
        <v>61.6</v>
      </c>
    </row>
    <row r="33" spans="1:4" x14ac:dyDescent="0.25">
      <c r="A33" s="7">
        <v>12662</v>
      </c>
      <c r="B33" s="7" t="s">
        <v>43</v>
      </c>
      <c r="C33" s="8">
        <v>14</v>
      </c>
      <c r="D33" s="7">
        <v>66.599999999999994</v>
      </c>
    </row>
    <row r="34" spans="1:4" x14ac:dyDescent="0.25">
      <c r="A34" s="7">
        <v>12662</v>
      </c>
      <c r="B34" s="7" t="s">
        <v>43</v>
      </c>
      <c r="C34" s="8">
        <v>16</v>
      </c>
      <c r="D34" s="7">
        <v>69.5</v>
      </c>
    </row>
    <row r="35" spans="1:4" x14ac:dyDescent="0.25">
      <c r="A35" s="7">
        <v>12662</v>
      </c>
      <c r="B35" s="7" t="s">
        <v>43</v>
      </c>
      <c r="C35" s="8">
        <v>18</v>
      </c>
      <c r="D35" s="7">
        <v>70.900000000000006</v>
      </c>
    </row>
    <row r="36" spans="1:4" x14ac:dyDescent="0.25">
      <c r="A36" s="7">
        <v>12662</v>
      </c>
      <c r="B36" s="7" t="s">
        <v>43</v>
      </c>
      <c r="C36" s="8">
        <v>20</v>
      </c>
      <c r="D36" s="7">
        <v>71.599999999999994</v>
      </c>
    </row>
    <row r="37" spans="1:4" x14ac:dyDescent="0.25">
      <c r="A37" s="7">
        <v>12662</v>
      </c>
      <c r="B37" s="7" t="s">
        <v>43</v>
      </c>
      <c r="C37" s="8">
        <v>22</v>
      </c>
      <c r="D37" s="7">
        <v>71.599999999999994</v>
      </c>
    </row>
    <row r="38" spans="1:4" x14ac:dyDescent="0.25">
      <c r="A38" s="7">
        <v>12662</v>
      </c>
      <c r="B38" s="7" t="s">
        <v>42</v>
      </c>
      <c r="C38" s="8">
        <v>0</v>
      </c>
      <c r="D38" s="7">
        <v>24.7</v>
      </c>
    </row>
    <row r="39" spans="1:4" x14ac:dyDescent="0.25">
      <c r="A39" s="7">
        <v>12662</v>
      </c>
      <c r="B39" s="7" t="s">
        <v>42</v>
      </c>
      <c r="C39" s="8">
        <v>2</v>
      </c>
      <c r="D39" s="7">
        <v>26.1</v>
      </c>
    </row>
    <row r="40" spans="1:4" x14ac:dyDescent="0.25">
      <c r="A40" s="7">
        <v>12662</v>
      </c>
      <c r="B40" s="7" t="s">
        <v>42</v>
      </c>
      <c r="C40" s="8">
        <v>4</v>
      </c>
      <c r="D40" s="7">
        <v>32.6</v>
      </c>
    </row>
    <row r="41" spans="1:4" x14ac:dyDescent="0.25">
      <c r="A41" s="7">
        <v>12662</v>
      </c>
      <c r="B41" s="7" t="s">
        <v>42</v>
      </c>
      <c r="C41" s="8">
        <v>6</v>
      </c>
      <c r="D41" s="7">
        <v>40.6</v>
      </c>
    </row>
    <row r="42" spans="1:4" x14ac:dyDescent="0.25">
      <c r="A42" s="7">
        <v>12662</v>
      </c>
      <c r="B42" s="7" t="s">
        <v>42</v>
      </c>
      <c r="C42" s="8">
        <v>8</v>
      </c>
      <c r="D42" s="7">
        <v>48.5</v>
      </c>
    </row>
    <row r="43" spans="1:4" x14ac:dyDescent="0.25">
      <c r="A43" s="7">
        <v>12662</v>
      </c>
      <c r="B43" s="7" t="s">
        <v>42</v>
      </c>
      <c r="C43" s="8">
        <v>10</v>
      </c>
      <c r="D43" s="7">
        <v>55.8</v>
      </c>
    </row>
    <row r="44" spans="1:4" x14ac:dyDescent="0.25">
      <c r="A44" s="7">
        <v>12662</v>
      </c>
      <c r="B44" s="7" t="s">
        <v>42</v>
      </c>
      <c r="C44" s="8">
        <v>12</v>
      </c>
      <c r="D44" s="7">
        <v>62.3</v>
      </c>
    </row>
    <row r="45" spans="1:4" x14ac:dyDescent="0.25">
      <c r="A45" s="7">
        <v>12662</v>
      </c>
      <c r="B45" s="7" t="s">
        <v>42</v>
      </c>
      <c r="C45" s="8">
        <v>14</v>
      </c>
      <c r="D45" s="7">
        <v>67.3</v>
      </c>
    </row>
    <row r="46" spans="1:4" x14ac:dyDescent="0.25">
      <c r="A46" s="7">
        <v>12662</v>
      </c>
      <c r="B46" s="7" t="s">
        <v>42</v>
      </c>
      <c r="C46" s="8">
        <v>16</v>
      </c>
      <c r="D46" s="7">
        <v>70</v>
      </c>
    </row>
    <row r="47" spans="1:4" x14ac:dyDescent="0.25">
      <c r="A47" s="7">
        <v>12662</v>
      </c>
      <c r="B47" s="7" t="s">
        <v>42</v>
      </c>
      <c r="C47" s="8">
        <v>18</v>
      </c>
      <c r="D47" s="7">
        <v>70.599999999999994</v>
      </c>
    </row>
    <row r="48" spans="1:4" x14ac:dyDescent="0.25">
      <c r="A48" s="7">
        <v>12662</v>
      </c>
      <c r="B48" s="7" t="s">
        <v>42</v>
      </c>
      <c r="C48" s="8">
        <v>20</v>
      </c>
      <c r="D48" s="7">
        <v>71</v>
      </c>
    </row>
    <row r="49" spans="1:4" x14ac:dyDescent="0.25">
      <c r="A49" s="7">
        <v>12662</v>
      </c>
      <c r="B49" s="7" t="s">
        <v>42</v>
      </c>
      <c r="C49" s="8">
        <v>22</v>
      </c>
      <c r="D49" s="7">
        <v>70.900000000000006</v>
      </c>
    </row>
    <row r="50" spans="1:4" x14ac:dyDescent="0.25">
      <c r="A50" s="7">
        <v>13126</v>
      </c>
      <c r="B50" s="7" t="s">
        <v>43</v>
      </c>
      <c r="C50" s="8">
        <v>0</v>
      </c>
      <c r="D50" s="7">
        <v>24.7</v>
      </c>
    </row>
    <row r="51" spans="1:4" x14ac:dyDescent="0.25">
      <c r="A51" s="7">
        <v>13126</v>
      </c>
      <c r="B51" s="7" t="s">
        <v>43</v>
      </c>
      <c r="C51" s="8">
        <v>2</v>
      </c>
      <c r="D51" s="7">
        <v>26.9</v>
      </c>
    </row>
    <row r="52" spans="1:4" x14ac:dyDescent="0.25">
      <c r="A52" s="7">
        <v>13126</v>
      </c>
      <c r="B52" s="7" t="s">
        <v>43</v>
      </c>
      <c r="C52" s="8">
        <v>4</v>
      </c>
      <c r="D52" s="7">
        <v>34.700000000000003</v>
      </c>
    </row>
    <row r="53" spans="1:4" x14ac:dyDescent="0.25">
      <c r="A53" s="7">
        <v>13126</v>
      </c>
      <c r="B53" s="7" t="s">
        <v>43</v>
      </c>
      <c r="C53" s="8">
        <v>6</v>
      </c>
      <c r="D53" s="7">
        <v>43.6</v>
      </c>
    </row>
    <row r="54" spans="1:4" x14ac:dyDescent="0.25">
      <c r="A54" s="7">
        <v>13126</v>
      </c>
      <c r="B54" s="7" t="s">
        <v>43</v>
      </c>
      <c r="C54" s="8">
        <v>8</v>
      </c>
      <c r="D54" s="7">
        <v>51.9</v>
      </c>
    </row>
    <row r="55" spans="1:4" x14ac:dyDescent="0.25">
      <c r="A55" s="7">
        <v>13126</v>
      </c>
      <c r="B55" s="7" t="s">
        <v>43</v>
      </c>
      <c r="C55" s="8">
        <v>10</v>
      </c>
      <c r="D55" s="7">
        <v>58.9</v>
      </c>
    </row>
    <row r="56" spans="1:4" x14ac:dyDescent="0.25">
      <c r="A56" s="7">
        <v>13126</v>
      </c>
      <c r="B56" s="7" t="s">
        <v>43</v>
      </c>
      <c r="C56" s="8">
        <v>12</v>
      </c>
      <c r="D56" s="7">
        <v>64.900000000000006</v>
      </c>
    </row>
    <row r="57" spans="1:4" x14ac:dyDescent="0.25">
      <c r="A57" s="7">
        <v>13126</v>
      </c>
      <c r="B57" s="7" t="s">
        <v>43</v>
      </c>
      <c r="C57" s="8">
        <v>14</v>
      </c>
      <c r="D57" s="7">
        <v>68.900000000000006</v>
      </c>
    </row>
    <row r="58" spans="1:4" x14ac:dyDescent="0.25">
      <c r="A58" s="7">
        <v>13126</v>
      </c>
      <c r="B58" s="7" t="s">
        <v>43</v>
      </c>
      <c r="C58" s="8">
        <v>16</v>
      </c>
      <c r="D58" s="7">
        <v>70.599999999999994</v>
      </c>
    </row>
    <row r="59" spans="1:4" x14ac:dyDescent="0.25">
      <c r="A59" s="7">
        <v>13126</v>
      </c>
      <c r="B59" s="7" t="s">
        <v>43</v>
      </c>
      <c r="C59" s="8">
        <v>18</v>
      </c>
      <c r="D59" s="7">
        <v>70.900000000000006</v>
      </c>
    </row>
    <row r="60" spans="1:4" x14ac:dyDescent="0.25">
      <c r="A60" s="7">
        <v>13126</v>
      </c>
      <c r="B60" s="7" t="s">
        <v>43</v>
      </c>
      <c r="C60" s="8">
        <v>20</v>
      </c>
      <c r="D60" s="7">
        <v>70.8</v>
      </c>
    </row>
    <row r="61" spans="1:4" x14ac:dyDescent="0.25">
      <c r="A61" s="7">
        <v>13126</v>
      </c>
      <c r="B61" s="7" t="s">
        <v>43</v>
      </c>
      <c r="C61" s="8">
        <v>22</v>
      </c>
      <c r="D61" s="7">
        <v>70.900000000000006</v>
      </c>
    </row>
    <row r="62" spans="1:4" x14ac:dyDescent="0.25">
      <c r="A62" s="7">
        <v>13126</v>
      </c>
      <c r="B62" s="7" t="s">
        <v>43</v>
      </c>
      <c r="C62" s="8">
        <v>24</v>
      </c>
      <c r="D62" s="7">
        <v>70.8</v>
      </c>
    </row>
    <row r="63" spans="1:4" x14ac:dyDescent="0.25">
      <c r="A63" s="7">
        <v>13126</v>
      </c>
      <c r="B63" s="7" t="s">
        <v>43</v>
      </c>
      <c r="C63" s="8">
        <v>26</v>
      </c>
      <c r="D63" s="7">
        <v>70.8</v>
      </c>
    </row>
    <row r="64" spans="1:4" x14ac:dyDescent="0.25">
      <c r="A64" s="7">
        <v>13136</v>
      </c>
      <c r="B64" s="7" t="s">
        <v>43</v>
      </c>
      <c r="C64" s="8">
        <v>0</v>
      </c>
      <c r="D64" s="7">
        <v>24.7</v>
      </c>
    </row>
    <row r="65" spans="1:4" x14ac:dyDescent="0.25">
      <c r="A65" s="7">
        <v>13136</v>
      </c>
      <c r="B65" s="7" t="s">
        <v>43</v>
      </c>
      <c r="C65" s="8">
        <v>2</v>
      </c>
      <c r="D65" s="7">
        <v>26</v>
      </c>
    </row>
    <row r="66" spans="1:4" x14ac:dyDescent="0.25">
      <c r="A66" s="7">
        <v>13136</v>
      </c>
      <c r="B66" s="7" t="s">
        <v>43</v>
      </c>
      <c r="C66" s="8">
        <v>4</v>
      </c>
      <c r="D66" s="7">
        <v>32.9</v>
      </c>
    </row>
    <row r="67" spans="1:4" x14ac:dyDescent="0.25">
      <c r="A67" s="7">
        <v>13136</v>
      </c>
      <c r="B67" s="7" t="s">
        <v>43</v>
      </c>
      <c r="C67" s="8">
        <v>6</v>
      </c>
      <c r="D67" s="7">
        <v>39.799999999999997</v>
      </c>
    </row>
    <row r="68" spans="1:4" x14ac:dyDescent="0.25">
      <c r="A68" s="7">
        <v>13136</v>
      </c>
      <c r="B68" s="7" t="s">
        <v>43</v>
      </c>
      <c r="C68" s="8">
        <v>8</v>
      </c>
      <c r="D68" s="7">
        <v>47.7</v>
      </c>
    </row>
    <row r="69" spans="1:4" x14ac:dyDescent="0.25">
      <c r="A69" s="7">
        <v>13136</v>
      </c>
      <c r="B69" s="7" t="s">
        <v>43</v>
      </c>
      <c r="C69" s="8">
        <v>10</v>
      </c>
      <c r="D69" s="7">
        <v>54.4</v>
      </c>
    </row>
    <row r="70" spans="1:4" x14ac:dyDescent="0.25">
      <c r="A70" s="7">
        <v>13136</v>
      </c>
      <c r="B70" s="7" t="s">
        <v>43</v>
      </c>
      <c r="C70" s="8">
        <v>12</v>
      </c>
      <c r="D70" s="7">
        <v>60.5</v>
      </c>
    </row>
    <row r="71" spans="1:4" x14ac:dyDescent="0.25">
      <c r="A71" s="7">
        <v>13136</v>
      </c>
      <c r="B71" s="7" t="s">
        <v>43</v>
      </c>
      <c r="C71" s="8">
        <v>14</v>
      </c>
      <c r="D71" s="7">
        <v>65.900000000000006</v>
      </c>
    </row>
    <row r="72" spans="1:4" x14ac:dyDescent="0.25">
      <c r="A72" s="7">
        <v>13136</v>
      </c>
      <c r="B72" s="7" t="s">
        <v>43</v>
      </c>
      <c r="C72" s="8">
        <v>16</v>
      </c>
      <c r="D72" s="7">
        <v>68.900000000000006</v>
      </c>
    </row>
    <row r="73" spans="1:4" x14ac:dyDescent="0.25">
      <c r="A73" s="7">
        <v>13136</v>
      </c>
      <c r="B73" s="7" t="s">
        <v>43</v>
      </c>
      <c r="C73" s="8">
        <v>18</v>
      </c>
      <c r="D73" s="7">
        <v>70.099999999999994</v>
      </c>
    </row>
    <row r="74" spans="1:4" x14ac:dyDescent="0.25">
      <c r="A74" s="7">
        <v>13136</v>
      </c>
      <c r="B74" s="7" t="s">
        <v>43</v>
      </c>
      <c r="C74" s="8">
        <v>20</v>
      </c>
      <c r="D74" s="7">
        <v>70.3</v>
      </c>
    </row>
    <row r="75" spans="1:4" x14ac:dyDescent="0.25">
      <c r="A75" s="7">
        <v>13136</v>
      </c>
      <c r="B75" s="7" t="s">
        <v>43</v>
      </c>
      <c r="C75" s="8">
        <v>22</v>
      </c>
      <c r="D75" s="7">
        <v>70.400000000000006</v>
      </c>
    </row>
    <row r="76" spans="1:4" x14ac:dyDescent="0.25">
      <c r="A76" s="7">
        <v>13136</v>
      </c>
      <c r="B76" s="7" t="s">
        <v>43</v>
      </c>
      <c r="C76" s="8">
        <v>24</v>
      </c>
      <c r="D76" s="7">
        <v>70.3</v>
      </c>
    </row>
    <row r="77" spans="1:4" x14ac:dyDescent="0.25">
      <c r="A77" s="7">
        <v>13136</v>
      </c>
      <c r="B77" s="7" t="s">
        <v>43</v>
      </c>
      <c r="C77" s="8">
        <v>26</v>
      </c>
      <c r="D77" s="7">
        <v>70.3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126"/>
  <sheetViews>
    <sheetView zoomScale="80" zoomScaleNormal="80" workbookViewId="0"/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1.140625" style="4" bestFit="1" customWidth="1"/>
    <col min="7" max="16384" width="9.140625" style="4"/>
  </cols>
  <sheetData>
    <row r="1" spans="1:37" ht="24" customHeight="1" x14ac:dyDescent="0.25">
      <c r="A1" s="2" t="s">
        <v>0</v>
      </c>
      <c r="B1" s="1" t="s">
        <v>7</v>
      </c>
      <c r="C1" s="1" t="s">
        <v>8</v>
      </c>
      <c r="D1" s="2" t="s">
        <v>9</v>
      </c>
      <c r="E1" s="3"/>
      <c r="F1" s="2" t="s">
        <v>11</v>
      </c>
      <c r="G1" s="2" t="s">
        <v>12</v>
      </c>
      <c r="H1" s="2" t="s">
        <v>20</v>
      </c>
      <c r="I1" s="3"/>
      <c r="J1" s="3"/>
      <c r="K1" s="3"/>
      <c r="L1" s="3"/>
      <c r="M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7" x14ac:dyDescent="0.25">
      <c r="A2" s="3">
        <v>0</v>
      </c>
      <c r="B2" s="3">
        <v>5.9030899869919438</v>
      </c>
      <c r="C2" s="3">
        <f t="shared" ref="C2:C22" si="0">LOG((10^$G$5)/(1+10^$G$2)*(10^(-1*(A2/$G$3)^$G$4+$G$2)+10^(-1*(A2/$G$6)^$G$4)))</f>
        <v>5.9135061832369962</v>
      </c>
      <c r="D2" s="3">
        <f t="shared" ref="D2:D22" si="1" xml:space="preserve"> (B2 - C2)^2</f>
        <v>1.0849714421544395E-4</v>
      </c>
      <c r="E2" s="3"/>
      <c r="F2" s="3" t="s">
        <v>18</v>
      </c>
      <c r="G2" s="6">
        <v>2.8338005552381369</v>
      </c>
      <c r="H2" s="6">
        <v>0.43033196970950488</v>
      </c>
      <c r="I2" s="3"/>
      <c r="J2" s="3"/>
      <c r="K2" s="3"/>
      <c r="L2" s="5" t="s">
        <v>21</v>
      </c>
      <c r="M2" s="6">
        <v>0.40502057090881294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</row>
    <row r="3" spans="1:37" x14ac:dyDescent="0.25">
      <c r="A3" s="3">
        <v>10</v>
      </c>
      <c r="B3" s="3">
        <v>5.5185139398778871</v>
      </c>
      <c r="C3" s="3">
        <f t="shared" si="0"/>
        <v>5.3066630524230778</v>
      </c>
      <c r="D3" s="3">
        <f t="shared" si="1"/>
        <v>4.4880798515390272E-2</v>
      </c>
      <c r="E3" s="3"/>
      <c r="F3" s="3" t="s">
        <v>17</v>
      </c>
      <c r="G3" s="6">
        <v>10.862555718861</v>
      </c>
      <c r="H3" s="6">
        <v>0.91563208136813801</v>
      </c>
      <c r="I3" s="3"/>
      <c r="J3" s="3"/>
      <c r="K3" s="3"/>
      <c r="L3" s="5" t="s">
        <v>24</v>
      </c>
      <c r="M3" s="6">
        <f>SQRT(M2)</f>
        <v>0.63641226489502301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</row>
    <row r="4" spans="1:37" x14ac:dyDescent="0.25">
      <c r="A4" s="3">
        <v>12</v>
      </c>
      <c r="B4" s="3">
        <v>4.7781512503836439</v>
      </c>
      <c r="C4" s="3">
        <f t="shared" si="0"/>
        <v>4.1318137229822502</v>
      </c>
      <c r="D4" s="3">
        <f t="shared" si="1"/>
        <v>0.41775219932734725</v>
      </c>
      <c r="E4" s="3"/>
      <c r="F4" s="3" t="s">
        <v>15</v>
      </c>
      <c r="G4" s="6">
        <v>6</v>
      </c>
      <c r="H4" s="6">
        <v>3.5327856265389799</v>
      </c>
      <c r="I4" s="3"/>
      <c r="J4" s="3"/>
      <c r="K4" s="3"/>
      <c r="L4" s="5" t="s">
        <v>22</v>
      </c>
      <c r="M4" s="6">
        <v>0.86286240588012808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</row>
    <row r="5" spans="1:37" x14ac:dyDescent="0.25">
      <c r="A5" s="3">
        <v>14</v>
      </c>
      <c r="B5" s="3">
        <v>2.7781512503836434</v>
      </c>
      <c r="C5" s="3">
        <f t="shared" si="0"/>
        <v>2.9865931462936914</v>
      </c>
      <c r="D5" s="3">
        <f t="shared" si="1"/>
        <v>4.3448023970575296E-2</v>
      </c>
      <c r="E5" s="3"/>
      <c r="F5" s="3" t="s">
        <v>13</v>
      </c>
      <c r="G5" s="6">
        <v>5.9135061832369962</v>
      </c>
      <c r="H5" s="6">
        <v>0.3637302613143133</v>
      </c>
      <c r="I5" s="3"/>
      <c r="J5" s="3"/>
      <c r="K5" s="3"/>
      <c r="L5" s="5" t="s">
        <v>23</v>
      </c>
      <c r="M5" s="6">
        <v>0.83866165397662129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</row>
    <row r="6" spans="1:37" x14ac:dyDescent="0.25">
      <c r="A6" s="3">
        <v>16</v>
      </c>
      <c r="B6" s="3">
        <v>2.8129133566428557</v>
      </c>
      <c r="C6" s="3">
        <f t="shared" si="0"/>
        <v>2.8514593370892483</v>
      </c>
      <c r="D6" s="3">
        <f t="shared" si="1"/>
        <v>1.4857926085736783E-3</v>
      </c>
      <c r="E6" s="3"/>
      <c r="F6" s="3" t="s">
        <v>19</v>
      </c>
      <c r="G6" s="6">
        <v>20.47645420174193</v>
      </c>
      <c r="H6" s="6">
        <v>1.746070436404846</v>
      </c>
      <c r="I6" s="3"/>
      <c r="J6" s="3"/>
      <c r="K6" s="3"/>
      <c r="L6" s="5" t="s">
        <v>37</v>
      </c>
      <c r="M6" s="10" t="s">
        <v>39</v>
      </c>
      <c r="N6" s="4" t="s">
        <v>38</v>
      </c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</row>
    <row r="7" spans="1:37" x14ac:dyDescent="0.25">
      <c r="A7" s="3">
        <v>0</v>
      </c>
      <c r="B7" s="3">
        <v>5.6720978579357171</v>
      </c>
      <c r="C7" s="3">
        <f t="shared" si="0"/>
        <v>5.9135061832369962</v>
      </c>
      <c r="D7" s="3">
        <f t="shared" si="1"/>
        <v>5.8277979524768188E-2</v>
      </c>
      <c r="E7" s="3"/>
      <c r="F7" s="2" t="s">
        <v>25</v>
      </c>
      <c r="G7" s="3"/>
      <c r="H7" s="3"/>
      <c r="I7" s="3"/>
      <c r="J7" s="3"/>
      <c r="K7" s="3"/>
      <c r="L7" s="3"/>
      <c r="M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</row>
    <row r="8" spans="1:37" x14ac:dyDescent="0.25">
      <c r="A8" s="3">
        <v>10</v>
      </c>
      <c r="B8" s="3">
        <v>5.8633228601204559</v>
      </c>
      <c r="C8" s="3">
        <f t="shared" si="0"/>
        <v>5.3066630524230778</v>
      </c>
      <c r="D8" s="3">
        <f t="shared" si="1"/>
        <v>0.30987014150568198</v>
      </c>
      <c r="E8" s="3"/>
      <c r="F8" s="3" t="s">
        <v>26</v>
      </c>
      <c r="G8" s="3"/>
      <c r="H8" s="3"/>
      <c r="I8" s="3"/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</row>
    <row r="9" spans="1:37" x14ac:dyDescent="0.25">
      <c r="A9" s="3">
        <v>12</v>
      </c>
      <c r="B9" s="3">
        <v>4.0413926851582254</v>
      </c>
      <c r="C9" s="3">
        <f t="shared" si="0"/>
        <v>4.1318137229822502</v>
      </c>
      <c r="D9" s="3">
        <f t="shared" si="1"/>
        <v>8.1759640811737387E-3</v>
      </c>
      <c r="E9" s="3"/>
      <c r="F9" s="2" t="s">
        <v>27</v>
      </c>
      <c r="G9" s="3"/>
      <c r="H9" s="3"/>
      <c r="I9" s="3"/>
      <c r="J9" s="3"/>
      <c r="K9" s="3"/>
      <c r="L9" s="3"/>
      <c r="M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</row>
    <row r="10" spans="1:37" x14ac:dyDescent="0.25">
      <c r="A10" s="3">
        <v>14</v>
      </c>
      <c r="B10" s="3">
        <v>3</v>
      </c>
      <c r="C10" s="3">
        <f t="shared" si="0"/>
        <v>2.9865931462936914</v>
      </c>
      <c r="D10" s="3">
        <f t="shared" si="1"/>
        <v>1.7974372630235968E-4</v>
      </c>
      <c r="E10" s="3"/>
      <c r="F10" s="3" t="s">
        <v>28</v>
      </c>
      <c r="G10" s="3"/>
      <c r="H10" s="3"/>
      <c r="I10" s="3"/>
      <c r="J10" s="3"/>
      <c r="K10" s="3"/>
      <c r="L10" s="3"/>
      <c r="M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</row>
    <row r="11" spans="1:37" x14ac:dyDescent="0.25">
      <c r="A11" s="3">
        <v>16</v>
      </c>
      <c r="B11" s="3">
        <v>3.1303337684950061</v>
      </c>
      <c r="C11" s="3">
        <f t="shared" si="0"/>
        <v>2.8514593370892483</v>
      </c>
      <c r="D11" s="3">
        <f t="shared" si="1"/>
        <v>7.7770948491884734E-2</v>
      </c>
      <c r="E11" s="3"/>
      <c r="F11" s="2" t="s">
        <v>29</v>
      </c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</row>
    <row r="12" spans="1:37" x14ac:dyDescent="0.25">
      <c r="A12" s="3">
        <v>18</v>
      </c>
      <c r="B12" s="3">
        <v>1.9294189257142926</v>
      </c>
      <c r="C12" s="3">
        <f t="shared" si="0"/>
        <v>2.6176386027308953</v>
      </c>
      <c r="D12" s="3">
        <f t="shared" si="1"/>
        <v>0.47364632383283695</v>
      </c>
      <c r="E12" s="3"/>
      <c r="F12" s="11" t="s">
        <v>30</v>
      </c>
      <c r="G12" s="12"/>
      <c r="H12" s="12"/>
      <c r="I12" s="12"/>
      <c r="J12" s="12"/>
      <c r="K12" s="12"/>
      <c r="L12" s="12"/>
      <c r="M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</row>
    <row r="13" spans="1:37" x14ac:dyDescent="0.25">
      <c r="A13" s="3">
        <v>20</v>
      </c>
      <c r="B13" s="3">
        <v>2.8129133566428557</v>
      </c>
      <c r="C13" s="3">
        <f t="shared" si="0"/>
        <v>2.210806016044788</v>
      </c>
      <c r="D13" s="3">
        <f t="shared" si="1"/>
        <v>0.3625332496020775</v>
      </c>
      <c r="E13" s="3"/>
      <c r="F13" s="12"/>
      <c r="G13" s="12"/>
      <c r="H13" s="12"/>
      <c r="I13" s="12"/>
      <c r="J13" s="12"/>
      <c r="K13" s="12"/>
      <c r="L13" s="12"/>
      <c r="M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</row>
    <row r="14" spans="1:37" x14ac:dyDescent="0.25">
      <c r="A14" s="3">
        <v>22</v>
      </c>
      <c r="B14" s="3"/>
      <c r="C14" s="3">
        <f t="shared" si="0"/>
        <v>1.5408879109264997</v>
      </c>
      <c r="D14" s="3">
        <f t="shared" si="1"/>
        <v>2.3743355540394324</v>
      </c>
      <c r="E14" s="3"/>
      <c r="F14" s="12"/>
      <c r="G14" s="12"/>
      <c r="H14" s="12"/>
      <c r="I14" s="12"/>
      <c r="J14" s="12"/>
      <c r="K14" s="12"/>
      <c r="L14" s="12"/>
      <c r="M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</row>
    <row r="15" spans="1:37" x14ac:dyDescent="0.25">
      <c r="A15" s="3">
        <v>0</v>
      </c>
      <c r="B15" s="3">
        <v>5.568201724066995</v>
      </c>
      <c r="C15" s="3">
        <f t="shared" si="0"/>
        <v>5.9135061832369962</v>
      </c>
      <c r="D15" s="3">
        <f t="shared" si="1"/>
        <v>0.11923516952268702</v>
      </c>
      <c r="E15" s="3"/>
      <c r="F15" s="3"/>
      <c r="G15" s="3"/>
      <c r="H15" s="3"/>
      <c r="I15" s="3"/>
      <c r="J15" s="3"/>
      <c r="K15" s="3"/>
      <c r="L15" s="3"/>
      <c r="M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</row>
    <row r="16" spans="1:37" x14ac:dyDescent="0.25">
      <c r="A16" s="3">
        <v>10</v>
      </c>
      <c r="B16" s="3">
        <v>5.4313637641589869</v>
      </c>
      <c r="C16" s="3">
        <f t="shared" si="0"/>
        <v>5.3066630524230778</v>
      </c>
      <c r="D16" s="3">
        <f t="shared" si="1"/>
        <v>1.5550267507442305E-2</v>
      </c>
      <c r="E16" s="3"/>
      <c r="F16" s="3"/>
      <c r="G16" s="3"/>
      <c r="H16" s="3"/>
      <c r="I16" s="3"/>
      <c r="J16" s="3"/>
      <c r="K16" s="3"/>
      <c r="L16" s="3"/>
      <c r="M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</row>
    <row r="17" spans="1:37" x14ac:dyDescent="0.25">
      <c r="A17" s="3">
        <v>12</v>
      </c>
      <c r="B17" s="3">
        <v>3.2624510897304293</v>
      </c>
      <c r="C17" s="3">
        <f t="shared" si="0"/>
        <v>4.1318137229822502</v>
      </c>
      <c r="D17" s="3">
        <f t="shared" si="1"/>
        <v>0.75579138809454016</v>
      </c>
      <c r="E17" s="3"/>
      <c r="F17" s="3"/>
      <c r="G17" s="3"/>
      <c r="H17" s="3"/>
      <c r="I17" s="3"/>
      <c r="J17" s="3"/>
      <c r="K17" s="3"/>
      <c r="L17" s="3"/>
      <c r="M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</row>
    <row r="18" spans="1:37" x14ac:dyDescent="0.25">
      <c r="A18" s="3">
        <v>14</v>
      </c>
      <c r="B18" s="3">
        <v>3.0149403497929366</v>
      </c>
      <c r="C18" s="3">
        <f t="shared" si="0"/>
        <v>2.9865931462936914</v>
      </c>
      <c r="D18" s="3">
        <f t="shared" si="1"/>
        <v>8.0356394622761544E-4</v>
      </c>
      <c r="E18" s="3"/>
      <c r="F18" s="3"/>
      <c r="G18" s="3"/>
      <c r="H18" s="3"/>
      <c r="I18" s="3"/>
      <c r="J18" s="3"/>
      <c r="K18" s="3"/>
      <c r="L18" s="3"/>
      <c r="M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</row>
    <row r="19" spans="1:37" x14ac:dyDescent="0.25">
      <c r="A19" s="3">
        <v>16</v>
      </c>
      <c r="B19" s="3">
        <v>2.4771212547196626</v>
      </c>
      <c r="C19" s="3">
        <f t="shared" si="0"/>
        <v>2.8514593370892483</v>
      </c>
      <c r="D19" s="3">
        <f t="shared" si="1"/>
        <v>0.1401289999121387</v>
      </c>
      <c r="E19" s="3"/>
      <c r="F19" s="3"/>
      <c r="G19" s="3"/>
      <c r="H19" s="3"/>
      <c r="I19" s="3"/>
      <c r="J19" s="3"/>
      <c r="K19" s="3"/>
      <c r="L19" s="3"/>
      <c r="M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</row>
    <row r="20" spans="1:37" x14ac:dyDescent="0.25">
      <c r="A20" s="3">
        <v>18</v>
      </c>
      <c r="B20" s="3">
        <v>2.7403626894942437</v>
      </c>
      <c r="C20" s="3">
        <f t="shared" si="0"/>
        <v>2.6176386027308953</v>
      </c>
      <c r="D20" s="3">
        <f t="shared" si="1"/>
        <v>1.506120147189785E-2</v>
      </c>
      <c r="E20" s="3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</row>
    <row r="21" spans="1:37" x14ac:dyDescent="0.25">
      <c r="A21" s="3">
        <v>20</v>
      </c>
      <c r="B21" s="3">
        <v>3.1760912590556813</v>
      </c>
      <c r="C21" s="3">
        <f t="shared" si="0"/>
        <v>2.210806016044788</v>
      </c>
      <c r="D21" s="3">
        <f t="shared" si="1"/>
        <v>0.93177560037459939</v>
      </c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</row>
    <row r="22" spans="1:37" x14ac:dyDescent="0.25">
      <c r="A22" s="3">
        <v>22</v>
      </c>
      <c r="B22" s="3">
        <v>2.3979400086720375</v>
      </c>
      <c r="C22" s="3">
        <f t="shared" si="0"/>
        <v>1.5408879109264997</v>
      </c>
      <c r="D22" s="3">
        <f t="shared" si="1"/>
        <v>0.73453829825002692</v>
      </c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</row>
    <row r="23" spans="1:37" x14ac:dyDescent="0.25">
      <c r="A23" s="2" t="s">
        <v>10</v>
      </c>
      <c r="B23" s="3"/>
      <c r="C23" s="3"/>
      <c r="D23" s="3">
        <f>SUM(D2:D22)</f>
        <v>6.8853497054498201</v>
      </c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</row>
    <row r="24" spans="1:37" x14ac:dyDescent="0.25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</row>
    <row r="25" spans="1:37" x14ac:dyDescent="0.25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</row>
    <row r="26" spans="1:37" x14ac:dyDescent="0.25">
      <c r="A26" s="3">
        <v>0</v>
      </c>
      <c r="B26" s="3"/>
      <c r="C26" s="3">
        <f>LOG((10^$G$5)/(1+10^$G$2)*(10^(-1*(A26/$G$3)^$G$4+$G$2)+10^(-1*(A26/$G$6)^$G$4)))</f>
        <v>5.9135061832369962</v>
      </c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</row>
    <row r="27" spans="1:37" x14ac:dyDescent="0.25">
      <c r="A27" s="3">
        <v>0.22</v>
      </c>
      <c r="B27" s="3"/>
      <c r="C27" s="3">
        <f t="shared" ref="C27:C90" si="2">LOG((10^$G$5)/(1+10^$G$2)*(10^(-1*(A27/$G$3)^$G$4+$G$2)+10^(-1*(A27/$G$6)^$G$4)))</f>
        <v>5.9135061831680797</v>
      </c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</row>
    <row r="28" spans="1:37" x14ac:dyDescent="0.25">
      <c r="A28" s="3">
        <v>0.44</v>
      </c>
      <c r="B28" s="3"/>
      <c r="C28" s="3">
        <f t="shared" si="2"/>
        <v>5.9135061788263537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</row>
    <row r="29" spans="1:37" x14ac:dyDescent="0.25">
      <c r="A29" s="3">
        <v>0.66</v>
      </c>
      <c r="B29" s="3"/>
      <c r="C29" s="3">
        <f t="shared" si="2"/>
        <v>5.9135061329970231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</row>
    <row r="30" spans="1:37" x14ac:dyDescent="0.25">
      <c r="A30" s="3">
        <v>0.88</v>
      </c>
      <c r="B30" s="3"/>
      <c r="C30" s="3">
        <f t="shared" si="2"/>
        <v>5.9135059009558866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</row>
    <row r="31" spans="1:37" x14ac:dyDescent="0.25">
      <c r="A31" s="3">
        <v>1.1000000000000001</v>
      </c>
      <c r="B31" s="3"/>
      <c r="C31" s="3">
        <f t="shared" si="2"/>
        <v>5.9135051064200193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</row>
    <row r="32" spans="1:37" x14ac:dyDescent="0.25">
      <c r="A32" s="3">
        <v>1.32</v>
      </c>
      <c r="B32" s="3"/>
      <c r="C32" s="3">
        <f t="shared" si="2"/>
        <v>5.9135029678787445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</row>
    <row r="33" spans="1:37" x14ac:dyDescent="0.25">
      <c r="A33" s="3">
        <v>1.54</v>
      </c>
      <c r="B33" s="3"/>
      <c r="C33" s="3">
        <f t="shared" si="2"/>
        <v>5.9134980753048971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</row>
    <row r="34" spans="1:37" x14ac:dyDescent="0.25">
      <c r="A34" s="3">
        <v>1.76</v>
      </c>
      <c r="B34" s="3"/>
      <c r="C34" s="3">
        <f t="shared" si="2"/>
        <v>5.9134881172464819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</row>
    <row r="35" spans="1:37" x14ac:dyDescent="0.25">
      <c r="A35" s="3">
        <v>1.98</v>
      </c>
      <c r="B35" s="3"/>
      <c r="C35" s="3">
        <f t="shared" si="2"/>
        <v>5.9134695582988801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</row>
    <row r="36" spans="1:37" x14ac:dyDescent="0.25">
      <c r="A36" s="3">
        <v>2.2000000000000002</v>
      </c>
      <c r="B36" s="3"/>
      <c r="C36" s="3">
        <f t="shared" si="2"/>
        <v>5.9134372669580344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</row>
    <row r="37" spans="1:37" x14ac:dyDescent="0.25">
      <c r="A37" s="3">
        <v>2.4200000000000004</v>
      </c>
      <c r="B37" s="3"/>
      <c r="C37" s="3">
        <f t="shared" si="2"/>
        <v>5.9133840938553988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</row>
    <row r="38" spans="1:37" x14ac:dyDescent="0.25">
      <c r="A38" s="3">
        <v>2.6400000000000006</v>
      </c>
      <c r="B38" s="3"/>
      <c r="C38" s="3">
        <f t="shared" si="2"/>
        <v>5.9133004003761309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</row>
    <row r="39" spans="1:37" x14ac:dyDescent="0.25">
      <c r="A39" s="3">
        <v>2.8600000000000008</v>
      </c>
      <c r="B39" s="3"/>
      <c r="C39" s="3">
        <f t="shared" si="2"/>
        <v>5.9131735376630523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</row>
    <row r="40" spans="1:37" x14ac:dyDescent="0.25">
      <c r="A40" s="3">
        <v>3.080000000000001</v>
      </c>
      <c r="B40" s="3"/>
      <c r="C40" s="3">
        <f t="shared" si="2"/>
        <v>5.9129872760105009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</row>
    <row r="41" spans="1:37" x14ac:dyDescent="0.25">
      <c r="A41" s="3">
        <v>3.3000000000000012</v>
      </c>
      <c r="B41" s="3"/>
      <c r="C41" s="3">
        <f t="shared" si="2"/>
        <v>5.9127211846545373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</row>
    <row r="42" spans="1:37" x14ac:dyDescent="0.25">
      <c r="A42" s="3">
        <v>3.5200000000000014</v>
      </c>
      <c r="B42" s="3"/>
      <c r="C42" s="3">
        <f t="shared" si="2"/>
        <v>5.9123499619692916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</row>
    <row r="43" spans="1:37" x14ac:dyDescent="0.25">
      <c r="A43" s="3">
        <v>3.7400000000000015</v>
      </c>
      <c r="B43" s="3"/>
      <c r="C43" s="3">
        <f t="shared" si="2"/>
        <v>5.9118427160837976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</row>
    <row r="44" spans="1:37" x14ac:dyDescent="0.25">
      <c r="A44" s="3">
        <v>3.9600000000000017</v>
      </c>
      <c r="B44" s="3"/>
      <c r="C44" s="3">
        <f t="shared" si="2"/>
        <v>5.9111621959399159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</row>
    <row r="45" spans="1:37" x14ac:dyDescent="0.25">
      <c r="A45" s="3">
        <v>4.1800000000000015</v>
      </c>
      <c r="B45" s="3"/>
      <c r="C45" s="3">
        <f t="shared" si="2"/>
        <v>5.9102639728202933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</row>
    <row r="46" spans="1:37" x14ac:dyDescent="0.25">
      <c r="A46" s="3">
        <v>4.4000000000000012</v>
      </c>
      <c r="B46" s="3"/>
      <c r="C46" s="3">
        <f t="shared" si="2"/>
        <v>5.9090955723863283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</row>
    <row r="47" spans="1:37" x14ac:dyDescent="0.25">
      <c r="A47" s="3">
        <v>4.620000000000001</v>
      </c>
      <c r="B47" s="3"/>
      <c r="C47" s="3">
        <f t="shared" si="2"/>
        <v>5.9075955572806897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</row>
    <row r="48" spans="1:37" x14ac:dyDescent="0.25">
      <c r="A48" s="3">
        <v>4.8400000000000007</v>
      </c>
      <c r="B48" s="3"/>
      <c r="C48" s="3">
        <f t="shared" si="2"/>
        <v>5.9056925603679655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</row>
    <row r="49" spans="1:37" x14ac:dyDescent="0.25">
      <c r="A49" s="3">
        <v>5.0600000000000005</v>
      </c>
      <c r="B49" s="3"/>
      <c r="C49" s="3">
        <f t="shared" si="2"/>
        <v>5.9033042687119854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</row>
    <row r="50" spans="1:37" x14ac:dyDescent="0.25">
      <c r="A50" s="3">
        <v>5.28</v>
      </c>
      <c r="B50" s="3"/>
      <c r="C50" s="3">
        <f t="shared" si="2"/>
        <v>5.9003363584211561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</row>
    <row r="51" spans="1:37" x14ac:dyDescent="0.25">
      <c r="A51" s="3">
        <v>5.5</v>
      </c>
      <c r="B51" s="3"/>
      <c r="C51" s="3">
        <f t="shared" si="2"/>
        <v>5.8966813805363971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</row>
    <row r="52" spans="1:37" x14ac:dyDescent="0.25">
      <c r="A52" s="3">
        <v>5.72</v>
      </c>
      <c r="B52" s="3"/>
      <c r="C52" s="3">
        <f t="shared" si="2"/>
        <v>5.8922175981937608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</row>
    <row r="53" spans="1:37" x14ac:dyDescent="0.25">
      <c r="A53" s="3">
        <v>5.9399999999999995</v>
      </c>
      <c r="B53" s="3"/>
      <c r="C53" s="3">
        <f t="shared" si="2"/>
        <v>5.886807775370908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</row>
    <row r="54" spans="1:37" x14ac:dyDescent="0.25">
      <c r="A54" s="3">
        <v>6.1599999999999993</v>
      </c>
      <c r="B54" s="3"/>
      <c r="C54" s="3">
        <f t="shared" si="2"/>
        <v>5.880297917630954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</row>
    <row r="55" spans="1:37" x14ac:dyDescent="0.25">
      <c r="A55" s="3">
        <v>6.379999999999999</v>
      </c>
      <c r="B55" s="3"/>
      <c r="C55" s="3">
        <f t="shared" si="2"/>
        <v>5.8725159654199208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</row>
    <row r="56" spans="1:37" x14ac:dyDescent="0.25">
      <c r="A56" s="3">
        <v>6.5999999999999988</v>
      </c>
      <c r="B56" s="3"/>
      <c r="C56" s="3">
        <f t="shared" si="2"/>
        <v>5.8632704406715348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</row>
    <row r="57" spans="1:37" x14ac:dyDescent="0.25">
      <c r="A57" s="3">
        <v>6.8199999999999985</v>
      </c>
      <c r="B57" s="3"/>
      <c r="C57" s="3">
        <f t="shared" si="2"/>
        <v>5.8523490477492626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</row>
    <row r="58" spans="1:37" x14ac:dyDescent="0.25">
      <c r="A58" s="3">
        <v>7.0399999999999983</v>
      </c>
      <c r="B58" s="3"/>
      <c r="C58" s="3">
        <f t="shared" si="2"/>
        <v>5.8395172301462654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</row>
    <row r="59" spans="1:37" x14ac:dyDescent="0.25">
      <c r="A59" s="3">
        <v>7.259999999999998</v>
      </c>
      <c r="B59" s="3"/>
      <c r="C59" s="3">
        <f t="shared" si="2"/>
        <v>5.8245166849230374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</row>
    <row r="60" spans="1:37" x14ac:dyDescent="0.25">
      <c r="A60" s="3">
        <v>7.4799999999999978</v>
      </c>
      <c r="B60" s="3"/>
      <c r="C60" s="3">
        <f t="shared" si="2"/>
        <v>5.8070638376718602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</row>
    <row r="61" spans="1:37" x14ac:dyDescent="0.25">
      <c r="A61" s="3">
        <v>7.6999999999999975</v>
      </c>
      <c r="B61" s="3"/>
      <c r="C61" s="3">
        <f t="shared" si="2"/>
        <v>5.7868482819825786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</row>
    <row r="62" spans="1:37" x14ac:dyDescent="0.25">
      <c r="A62" s="3">
        <v>7.9199999999999973</v>
      </c>
      <c r="B62" s="3"/>
      <c r="C62" s="3">
        <f t="shared" si="2"/>
        <v>5.7635311891414469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</row>
    <row r="63" spans="1:37" x14ac:dyDescent="0.25">
      <c r="A63" s="3">
        <v>8.139999999999997</v>
      </c>
      <c r="B63" s="3"/>
      <c r="C63" s="3">
        <f t="shared" si="2"/>
        <v>5.7367436964326606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</row>
    <row r="64" spans="1:37" x14ac:dyDescent="0.25">
      <c r="A64" s="3">
        <v>8.3599999999999977</v>
      </c>
      <c r="B64" s="3"/>
      <c r="C64" s="3">
        <f t="shared" si="2"/>
        <v>5.7060852864237015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</row>
    <row r="65" spans="1:37" x14ac:dyDescent="0.25">
      <c r="A65" s="3">
        <v>8.5799999999999983</v>
      </c>
      <c r="B65" s="3"/>
      <c r="C65" s="3">
        <f t="shared" si="2"/>
        <v>5.6711221758001269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</row>
    <row r="66" spans="1:37" x14ac:dyDescent="0.25">
      <c r="A66" s="3">
        <v>8.7999999999999989</v>
      </c>
      <c r="B66" s="3"/>
      <c r="C66" s="3">
        <f t="shared" si="2"/>
        <v>5.6313857419867341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</row>
    <row r="67" spans="1:37" x14ac:dyDescent="0.25">
      <c r="A67" s="3">
        <v>9.02</v>
      </c>
      <c r="B67" s="3"/>
      <c r="C67" s="3">
        <f t="shared" si="2"/>
        <v>5.5863710311440808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</row>
    <row r="68" spans="1:37" x14ac:dyDescent="0.25">
      <c r="A68" s="3">
        <v>9.24</v>
      </c>
      <c r="B68" s="3"/>
      <c r="C68" s="3">
        <f t="shared" si="2"/>
        <v>5.5355354158839383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</row>
    <row r="69" spans="1:37" x14ac:dyDescent="0.25">
      <c r="A69" s="3">
        <v>9.4600000000000009</v>
      </c>
      <c r="B69" s="3"/>
      <c r="C69" s="3">
        <f t="shared" si="2"/>
        <v>5.4782975116221033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</row>
    <row r="70" spans="1:37" x14ac:dyDescent="0.25">
      <c r="A70" s="3">
        <v>9.6800000000000015</v>
      </c>
      <c r="B70" s="3"/>
      <c r="C70" s="3">
        <f t="shared" si="2"/>
        <v>5.4140365281377987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</row>
    <row r="71" spans="1:37" x14ac:dyDescent="0.25">
      <c r="A71" s="3">
        <v>9.9000000000000021</v>
      </c>
      <c r="B71" s="3"/>
      <c r="C71" s="3">
        <f t="shared" si="2"/>
        <v>5.3420923477165578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</row>
    <row r="72" spans="1:37" x14ac:dyDescent="0.25">
      <c r="A72" s="3">
        <v>10.120000000000003</v>
      </c>
      <c r="B72" s="3"/>
      <c r="C72" s="3">
        <f t="shared" si="2"/>
        <v>5.2617668196646283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</row>
    <row r="73" spans="1:37" x14ac:dyDescent="0.25">
      <c r="A73" s="3">
        <v>10.340000000000003</v>
      </c>
      <c r="B73" s="3"/>
      <c r="C73" s="3">
        <f t="shared" si="2"/>
        <v>5.1723271102607047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</row>
    <row r="74" spans="1:37" x14ac:dyDescent="0.25">
      <c r="A74" s="3">
        <v>10.560000000000004</v>
      </c>
      <c r="B74" s="3"/>
      <c r="C74" s="3">
        <f t="shared" si="2"/>
        <v>5.0730125734232399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</row>
    <row r="75" spans="1:37" x14ac:dyDescent="0.25">
      <c r="A75" s="3">
        <v>10.780000000000005</v>
      </c>
      <c r="B75" s="3"/>
      <c r="C75" s="3">
        <f t="shared" si="2"/>
        <v>4.9630477498403938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</row>
    <row r="76" spans="1:37" x14ac:dyDescent="0.25">
      <c r="A76" s="3">
        <v>11.000000000000005</v>
      </c>
      <c r="B76" s="3"/>
      <c r="C76" s="3">
        <f t="shared" si="2"/>
        <v>4.8416662188142654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</row>
    <row r="77" spans="1:37" x14ac:dyDescent="0.25">
      <c r="A77" s="3">
        <v>11.220000000000006</v>
      </c>
      <c r="B77" s="3"/>
      <c r="C77" s="3">
        <f t="shared" si="2"/>
        <v>4.7081539910995494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</row>
    <row r="78" spans="1:37" x14ac:dyDescent="0.25">
      <c r="A78" s="3">
        <v>11.440000000000007</v>
      </c>
      <c r="B78" s="3"/>
      <c r="C78" s="3">
        <f t="shared" si="2"/>
        <v>4.5619285716557805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</row>
    <row r="79" spans="1:37" x14ac:dyDescent="0.25">
      <c r="A79" s="3">
        <v>11.660000000000007</v>
      </c>
      <c r="B79" s="3"/>
      <c r="C79" s="3">
        <f t="shared" si="2"/>
        <v>4.402683574923647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</row>
    <row r="80" spans="1:37" x14ac:dyDescent="0.25">
      <c r="A80" s="3">
        <v>11.880000000000008</v>
      </c>
      <c r="B80" s="3"/>
      <c r="C80" s="3">
        <f t="shared" si="2"/>
        <v>4.2306528776276124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</row>
    <row r="81" spans="1:37" x14ac:dyDescent="0.25">
      <c r="A81" s="3">
        <v>12.100000000000009</v>
      </c>
      <c r="B81" s="3"/>
      <c r="C81" s="3">
        <f t="shared" si="2"/>
        <v>4.0470845821663062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</row>
    <row r="82" spans="1:37" x14ac:dyDescent="0.25">
      <c r="A82" s="3">
        <v>12.320000000000009</v>
      </c>
      <c r="B82" s="3"/>
      <c r="C82" s="3">
        <f t="shared" si="2"/>
        <v>3.8550455075808556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</row>
    <row r="83" spans="1:37" x14ac:dyDescent="0.25">
      <c r="A83" s="3">
        <v>12.54000000000001</v>
      </c>
      <c r="B83" s="3"/>
      <c r="C83" s="3">
        <f t="shared" si="2"/>
        <v>3.660604094888197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</row>
    <row r="84" spans="1:37" x14ac:dyDescent="0.25">
      <c r="A84" s="3">
        <v>12.76000000000001</v>
      </c>
      <c r="B84" s="3"/>
      <c r="C84" s="3">
        <f t="shared" si="2"/>
        <v>3.473977225261176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</row>
    <row r="85" spans="1:37" x14ac:dyDescent="0.25">
      <c r="A85" s="3">
        <v>12.980000000000011</v>
      </c>
      <c r="B85" s="3"/>
      <c r="C85" s="3">
        <f t="shared" si="2"/>
        <v>3.3090568660103328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</row>
    <row r="86" spans="1:37" x14ac:dyDescent="0.25">
      <c r="A86" s="3">
        <v>13.200000000000012</v>
      </c>
      <c r="B86" s="3"/>
      <c r="C86" s="3">
        <f t="shared" si="2"/>
        <v>3.1789836002254206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</row>
    <row r="87" spans="1:37" x14ac:dyDescent="0.25">
      <c r="A87" s="3">
        <v>13.420000000000012</v>
      </c>
      <c r="B87" s="3"/>
      <c r="C87" s="3">
        <f t="shared" si="2"/>
        <v>3.0889143713111546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</row>
    <row r="88" spans="1:37" x14ac:dyDescent="0.25">
      <c r="A88" s="3">
        <v>13.640000000000013</v>
      </c>
      <c r="B88" s="3"/>
      <c r="C88" s="3">
        <f t="shared" si="2"/>
        <v>3.0331927779009193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</row>
    <row r="89" spans="1:37" x14ac:dyDescent="0.25">
      <c r="A89" s="3">
        <v>13.860000000000014</v>
      </c>
      <c r="B89" s="3"/>
      <c r="C89" s="3">
        <f t="shared" si="2"/>
        <v>3.0004314465836281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</row>
    <row r="90" spans="1:37" x14ac:dyDescent="0.25">
      <c r="A90" s="3">
        <v>14.080000000000014</v>
      </c>
      <c r="B90" s="3"/>
      <c r="C90" s="3">
        <f t="shared" si="2"/>
        <v>2.9801460492028378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</row>
    <row r="91" spans="1:37" x14ac:dyDescent="0.25">
      <c r="A91" s="3">
        <v>14.300000000000015</v>
      </c>
      <c r="B91" s="3"/>
      <c r="C91" s="3">
        <f t="shared" ref="C91:C126" si="3">LOG((10^$G$5)/(1+10^$G$2)*(10^(-1*(A91/$G$3)^$G$4+$G$2)+10^(-1*(A91/$G$6)^$G$4)))</f>
        <v>2.9654676799380209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</row>
    <row r="92" spans="1:37" x14ac:dyDescent="0.25">
      <c r="A92" s="3">
        <v>14.520000000000016</v>
      </c>
      <c r="B92" s="3"/>
      <c r="C92" s="3">
        <f t="shared" si="3"/>
        <v>2.952715912625087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</row>
    <row r="93" spans="1:37" x14ac:dyDescent="0.25">
      <c r="A93" s="3">
        <v>14.740000000000016</v>
      </c>
      <c r="B93" s="3"/>
      <c r="C93" s="3">
        <f t="shared" si="3"/>
        <v>2.9401610610063709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</row>
    <row r="94" spans="1:37" x14ac:dyDescent="0.25">
      <c r="A94" s="3">
        <v>14.960000000000017</v>
      </c>
      <c r="B94" s="3"/>
      <c r="C94" s="3">
        <f t="shared" si="3"/>
        <v>2.9270563354442292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</row>
    <row r="95" spans="1:37" x14ac:dyDescent="0.25">
      <c r="A95" s="3">
        <v>15.180000000000017</v>
      </c>
      <c r="B95" s="3"/>
      <c r="C95" s="3">
        <f t="shared" si="3"/>
        <v>2.9130870839325609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</row>
    <row r="96" spans="1:37" x14ac:dyDescent="0.25">
      <c r="A96" s="3">
        <v>15.400000000000018</v>
      </c>
      <c r="B96" s="3"/>
      <c r="C96" s="3">
        <f t="shared" si="3"/>
        <v>2.8981072296345469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</row>
    <row r="97" spans="1:37" x14ac:dyDescent="0.25">
      <c r="A97" s="3">
        <v>15.620000000000019</v>
      </c>
      <c r="B97" s="3"/>
      <c r="C97" s="3">
        <f t="shared" si="3"/>
        <v>2.8820285197262643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</row>
    <row r="98" spans="1:37" x14ac:dyDescent="0.25">
      <c r="A98" s="3">
        <v>15.840000000000019</v>
      </c>
      <c r="B98" s="3"/>
      <c r="C98" s="3">
        <f t="shared" si="3"/>
        <v>2.8647791283480242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</row>
    <row r="99" spans="1:37" x14ac:dyDescent="0.25">
      <c r="A99" s="3">
        <v>16.06000000000002</v>
      </c>
      <c r="B99" s="3"/>
      <c r="C99" s="3">
        <f t="shared" si="3"/>
        <v>2.8462898470243165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</row>
    <row r="100" spans="1:37" x14ac:dyDescent="0.25">
      <c r="A100" s="3">
        <v>16.280000000000019</v>
      </c>
      <c r="B100" s="3"/>
      <c r="C100" s="3">
        <f t="shared" si="3"/>
        <v>2.8264899542513335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</row>
    <row r="101" spans="1:37" x14ac:dyDescent="0.25">
      <c r="A101" s="3">
        <v>16.500000000000018</v>
      </c>
      <c r="B101" s="3"/>
      <c r="C101" s="3">
        <f t="shared" si="3"/>
        <v>2.8053060785306765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</row>
    <row r="102" spans="1:37" x14ac:dyDescent="0.25">
      <c r="A102" s="3">
        <v>16.720000000000017</v>
      </c>
      <c r="B102" s="3"/>
      <c r="C102" s="3">
        <f t="shared" si="3"/>
        <v>2.7826618745145368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</row>
    <row r="103" spans="1:37" x14ac:dyDescent="0.25">
      <c r="A103" s="3">
        <v>16.940000000000015</v>
      </c>
      <c r="B103" s="3"/>
      <c r="C103" s="3">
        <f t="shared" si="3"/>
        <v>2.7584778918234267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</row>
    <row r="104" spans="1:37" x14ac:dyDescent="0.25">
      <c r="A104" s="3">
        <v>17.160000000000014</v>
      </c>
      <c r="B104" s="3"/>
      <c r="C104" s="3">
        <f t="shared" si="3"/>
        <v>2.7326714829304484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</row>
    <row r="105" spans="1:37" x14ac:dyDescent="0.25">
      <c r="A105" s="3">
        <v>17.380000000000013</v>
      </c>
      <c r="B105" s="3"/>
      <c r="C105" s="3">
        <f t="shared" si="3"/>
        <v>2.7051567171549062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</row>
    <row r="106" spans="1:37" x14ac:dyDescent="0.25">
      <c r="A106" s="3">
        <v>17.600000000000012</v>
      </c>
      <c r="B106" s="3"/>
      <c r="C106" s="3">
        <f t="shared" si="3"/>
        <v>2.6758442946653518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</row>
    <row r="107" spans="1:37" x14ac:dyDescent="0.25">
      <c r="A107" s="3">
        <v>17.820000000000011</v>
      </c>
      <c r="B107" s="3"/>
      <c r="C107" s="3">
        <f t="shared" si="3"/>
        <v>2.6446414595231578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</row>
    <row r="108" spans="1:37" x14ac:dyDescent="0.25">
      <c r="A108" s="3">
        <v>18.04000000000001</v>
      </c>
      <c r="B108" s="3"/>
      <c r="C108" s="3">
        <f t="shared" si="3"/>
        <v>2.611451911635287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</row>
    <row r="109" spans="1:37" x14ac:dyDescent="0.25">
      <c r="A109" s="3">
        <v>18.260000000000009</v>
      </c>
      <c r="B109" s="3"/>
      <c r="C109" s="3">
        <f t="shared" si="3"/>
        <v>2.5761757176011644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</row>
    <row r="110" spans="1:37" x14ac:dyDescent="0.25">
      <c r="A110" s="3">
        <v>18.480000000000008</v>
      </c>
      <c r="B110" s="3"/>
      <c r="C110" s="3">
        <f t="shared" si="3"/>
        <v>2.5387092204521786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</row>
    <row r="111" spans="1:37" x14ac:dyDescent="0.25">
      <c r="A111" s="3">
        <v>18.700000000000006</v>
      </c>
      <c r="B111" s="3"/>
      <c r="C111" s="3">
        <f t="shared" si="3"/>
        <v>2.4989449482837105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</row>
    <row r="112" spans="1:37" x14ac:dyDescent="0.25">
      <c r="A112" s="3">
        <v>18.920000000000005</v>
      </c>
      <c r="B112" s="3"/>
      <c r="C112" s="3">
        <f t="shared" si="3"/>
        <v>2.4567715217796628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</row>
    <row r="113" spans="1:37" x14ac:dyDescent="0.25">
      <c r="A113" s="3">
        <v>19.140000000000004</v>
      </c>
      <c r="B113" s="3"/>
      <c r="C113" s="3">
        <f t="shared" si="3"/>
        <v>2.412073560629505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</row>
    <row r="114" spans="1:37" x14ac:dyDescent="0.25">
      <c r="A114" s="3">
        <v>19.360000000000003</v>
      </c>
      <c r="B114" s="3"/>
      <c r="C114" s="3">
        <f t="shared" si="3"/>
        <v>2.364731588837826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</row>
    <row r="115" spans="1:37" x14ac:dyDescent="0.25">
      <c r="A115" s="3">
        <v>19.580000000000002</v>
      </c>
      <c r="B115" s="3"/>
      <c r="C115" s="3">
        <f t="shared" si="3"/>
        <v>2.3146219389263929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</row>
    <row r="116" spans="1:37" x14ac:dyDescent="0.25">
      <c r="A116" s="3">
        <v>19.8</v>
      </c>
      <c r="B116" s="3"/>
      <c r="C116" s="3">
        <f t="shared" si="3"/>
        <v>2.2616166550287273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</row>
    <row r="117" spans="1:37" x14ac:dyDescent="0.25">
      <c r="A117" s="3">
        <v>20.02</v>
      </c>
      <c r="B117" s="3"/>
      <c r="C117" s="3">
        <f t="shared" si="3"/>
        <v>2.2055833948771792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</row>
    <row r="118" spans="1:37" x14ac:dyDescent="0.25">
      <c r="A118" s="3">
        <v>20.239999999999998</v>
      </c>
      <c r="B118" s="3"/>
      <c r="C118" s="3">
        <f t="shared" si="3"/>
        <v>2.1463853306825227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</row>
    <row r="119" spans="1:37" x14ac:dyDescent="0.25">
      <c r="A119" s="3">
        <v>20.459999999999997</v>
      </c>
      <c r="B119" s="3"/>
      <c r="C119" s="3">
        <f t="shared" si="3"/>
        <v>2.0838810489060506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</row>
    <row r="120" spans="1:37" x14ac:dyDescent="0.25">
      <c r="A120" s="3">
        <v>20.679999999999996</v>
      </c>
      <c r="B120" s="3"/>
      <c r="C120" s="3">
        <f t="shared" si="3"/>
        <v>2.0179244489241874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</row>
    <row r="121" spans="1:37" x14ac:dyDescent="0.25">
      <c r="A121" s="3">
        <v>20.899999999999995</v>
      </c>
      <c r="B121" s="3"/>
      <c r="C121" s="3">
        <f t="shared" si="3"/>
        <v>1.9483646405856028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</row>
    <row r="122" spans="1:37" x14ac:dyDescent="0.25">
      <c r="A122" s="3">
        <v>21.119999999999994</v>
      </c>
      <c r="B122" s="3"/>
      <c r="C122" s="3">
        <f t="shared" si="3"/>
        <v>1.875045840660845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</row>
    <row r="123" spans="1:37" x14ac:dyDescent="0.25">
      <c r="A123" s="3">
        <v>21.339999999999993</v>
      </c>
      <c r="B123" s="3"/>
      <c r="C123" s="3">
        <f t="shared" si="3"/>
        <v>1.7978072681844681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</row>
    <row r="124" spans="1:37" x14ac:dyDescent="0.25">
      <c r="A124" s="3">
        <v>21.559999999999992</v>
      </c>
      <c r="B124" s="3"/>
      <c r="C124" s="3">
        <f t="shared" si="3"/>
        <v>1.7164830386896865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</row>
    <row r="125" spans="1:37" x14ac:dyDescent="0.25">
      <c r="A125" s="3">
        <v>21.77999999999999</v>
      </c>
      <c r="B125" s="3"/>
      <c r="C125" s="3">
        <f t="shared" si="3"/>
        <v>1.6309020573355302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</row>
    <row r="126" spans="1:37" x14ac:dyDescent="0.25">
      <c r="A126" s="3">
        <v>21.999999999999989</v>
      </c>
      <c r="B126" s="3"/>
      <c r="C126" s="3">
        <f t="shared" si="3"/>
        <v>1.5408879109265048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</row>
  </sheetData>
  <mergeCells count="1">
    <mergeCell ref="F12:L14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="80" zoomScaleNormal="80" workbookViewId="0"/>
  </sheetViews>
  <sheetFormatPr defaultRowHeight="15" x14ac:dyDescent="0.25"/>
  <cols>
    <col min="1" max="2" width="9.140625" style="4"/>
    <col min="3" max="3" width="12.28515625" style="4" bestFit="1" customWidth="1"/>
    <col min="4" max="4" width="9.85546875" style="4" bestFit="1" customWidth="1"/>
    <col min="5" max="16384" width="9.140625" style="4"/>
  </cols>
  <sheetData>
    <row r="1" spans="1:5" x14ac:dyDescent="0.25">
      <c r="A1" s="4" t="s">
        <v>2</v>
      </c>
      <c r="B1" s="4" t="s">
        <v>6</v>
      </c>
      <c r="C1" s="4" t="s">
        <v>40</v>
      </c>
      <c r="D1" s="4" t="s">
        <v>0</v>
      </c>
      <c r="E1" s="4" t="s">
        <v>1</v>
      </c>
    </row>
    <row r="2" spans="1:5" x14ac:dyDescent="0.25">
      <c r="A2" s="4">
        <v>12628</v>
      </c>
      <c r="B2" s="4" t="s">
        <v>3</v>
      </c>
      <c r="C2" s="4" t="s">
        <v>41</v>
      </c>
      <c r="D2" s="3">
        <v>0</v>
      </c>
      <c r="E2" s="6">
        <f>LOG10(8*10^5)</f>
        <v>5.9030899869919438</v>
      </c>
    </row>
    <row r="3" spans="1:5" x14ac:dyDescent="0.25">
      <c r="A3" s="4">
        <v>12628</v>
      </c>
      <c r="B3" s="4" t="s">
        <v>3</v>
      </c>
      <c r="C3" s="4" t="s">
        <v>41</v>
      </c>
      <c r="D3" s="3">
        <v>10</v>
      </c>
      <c r="E3" s="6">
        <f>LOG10(3.3*10^5)</f>
        <v>5.5185139398778871</v>
      </c>
    </row>
    <row r="4" spans="1:5" x14ac:dyDescent="0.25">
      <c r="A4" s="4">
        <v>12628</v>
      </c>
      <c r="B4" s="4" t="s">
        <v>3</v>
      </c>
      <c r="C4" s="4" t="s">
        <v>41</v>
      </c>
      <c r="D4" s="3">
        <v>12</v>
      </c>
      <c r="E4" s="6">
        <f>LOG10(6*10^4)</f>
        <v>4.7781512503836439</v>
      </c>
    </row>
    <row r="5" spans="1:5" x14ac:dyDescent="0.25">
      <c r="A5" s="4">
        <v>12628</v>
      </c>
      <c r="B5" s="4" t="s">
        <v>3</v>
      </c>
      <c r="C5" s="4" t="s">
        <v>41</v>
      </c>
      <c r="D5" s="3">
        <v>14</v>
      </c>
      <c r="E5" s="6">
        <f>LOG10(6*10^2)</f>
        <v>2.7781512503836434</v>
      </c>
    </row>
    <row r="6" spans="1:5" x14ac:dyDescent="0.25">
      <c r="A6" s="4">
        <v>12628</v>
      </c>
      <c r="B6" s="4" t="s">
        <v>3</v>
      </c>
      <c r="C6" s="4" t="s">
        <v>41</v>
      </c>
      <c r="D6" s="3">
        <v>16</v>
      </c>
      <c r="E6" s="6">
        <f>LOG10(0.65*10^3)</f>
        <v>2.8129133566428557</v>
      </c>
    </row>
    <row r="7" spans="1:5" x14ac:dyDescent="0.25">
      <c r="A7" s="4">
        <v>12628</v>
      </c>
      <c r="B7" s="4" t="s">
        <v>4</v>
      </c>
      <c r="C7" s="4" t="s">
        <v>41</v>
      </c>
      <c r="D7" s="3">
        <v>0</v>
      </c>
      <c r="E7" s="6">
        <f>LOG10(4.7*10^5)</f>
        <v>5.6720978579357171</v>
      </c>
    </row>
    <row r="8" spans="1:5" x14ac:dyDescent="0.25">
      <c r="A8" s="4">
        <v>12628</v>
      </c>
      <c r="B8" s="4" t="s">
        <v>4</v>
      </c>
      <c r="C8" s="4" t="s">
        <v>41</v>
      </c>
      <c r="D8" s="3">
        <v>10</v>
      </c>
      <c r="E8" s="6">
        <f>LOG10(7.3*10^5)</f>
        <v>5.8633228601204559</v>
      </c>
    </row>
    <row r="9" spans="1:5" x14ac:dyDescent="0.25">
      <c r="A9" s="4">
        <v>12628</v>
      </c>
      <c r="B9" s="4" t="s">
        <v>4</v>
      </c>
      <c r="C9" s="4" t="s">
        <v>41</v>
      </c>
      <c r="D9" s="3">
        <v>12</v>
      </c>
      <c r="E9" s="6">
        <f>LOG10(1.1*10^4)</f>
        <v>4.0413926851582254</v>
      </c>
    </row>
    <row r="10" spans="1:5" x14ac:dyDescent="0.25">
      <c r="A10" s="4">
        <v>12628</v>
      </c>
      <c r="B10" s="4" t="s">
        <v>4</v>
      </c>
      <c r="C10" s="4" t="s">
        <v>41</v>
      </c>
      <c r="D10" s="3">
        <v>14</v>
      </c>
      <c r="E10" s="6">
        <f>LOG10(10*10^2)</f>
        <v>3</v>
      </c>
    </row>
    <row r="11" spans="1:5" x14ac:dyDescent="0.25">
      <c r="A11" s="4">
        <v>12628</v>
      </c>
      <c r="B11" s="4" t="s">
        <v>4</v>
      </c>
      <c r="C11" s="4" t="s">
        <v>41</v>
      </c>
      <c r="D11" s="3">
        <v>16</v>
      </c>
      <c r="E11" s="6">
        <f>LOG10(1.35*10^3)</f>
        <v>3.1303337684950061</v>
      </c>
    </row>
    <row r="12" spans="1:5" x14ac:dyDescent="0.25">
      <c r="A12" s="4">
        <v>12628</v>
      </c>
      <c r="B12" s="4" t="s">
        <v>4</v>
      </c>
      <c r="C12" s="4" t="s">
        <v>41</v>
      </c>
      <c r="D12" s="3">
        <v>18</v>
      </c>
      <c r="E12" s="6">
        <f>LOG10(0.85*10^2)</f>
        <v>1.9294189257142926</v>
      </c>
    </row>
    <row r="13" spans="1:5" x14ac:dyDescent="0.25">
      <c r="A13" s="4">
        <v>12628</v>
      </c>
      <c r="B13" s="4" t="s">
        <v>4</v>
      </c>
      <c r="C13" s="4" t="s">
        <v>41</v>
      </c>
      <c r="D13" s="3">
        <v>20</v>
      </c>
      <c r="E13" s="6">
        <f>LOG10(0.65*10^3)</f>
        <v>2.8129133566428557</v>
      </c>
    </row>
    <row r="14" spans="1:5" x14ac:dyDescent="0.25">
      <c r="A14" s="4">
        <v>12628</v>
      </c>
      <c r="B14" s="4" t="s">
        <v>4</v>
      </c>
      <c r="C14" s="4" t="s">
        <v>41</v>
      </c>
      <c r="D14" s="3">
        <v>22</v>
      </c>
      <c r="E14" s="6"/>
    </row>
    <row r="15" spans="1:5" x14ac:dyDescent="0.25">
      <c r="A15" s="4">
        <v>12628</v>
      </c>
      <c r="B15" s="4" t="s">
        <v>5</v>
      </c>
      <c r="C15" s="4" t="s">
        <v>41</v>
      </c>
      <c r="D15" s="3">
        <v>0</v>
      </c>
      <c r="E15" s="6">
        <f>LOG10(3.7*10^5)</f>
        <v>5.568201724066995</v>
      </c>
    </row>
    <row r="16" spans="1:5" x14ac:dyDescent="0.25">
      <c r="A16" s="4">
        <v>12628</v>
      </c>
      <c r="B16" s="4" t="s">
        <v>5</v>
      </c>
      <c r="C16" s="4" t="s">
        <v>41</v>
      </c>
      <c r="D16" s="3">
        <v>10</v>
      </c>
      <c r="E16" s="6">
        <f>LOG10(2.7*10^5)</f>
        <v>5.4313637641589869</v>
      </c>
    </row>
    <row r="17" spans="1:5" x14ac:dyDescent="0.25">
      <c r="A17" s="4">
        <v>12628</v>
      </c>
      <c r="B17" s="4" t="s">
        <v>5</v>
      </c>
      <c r="C17" s="4" t="s">
        <v>41</v>
      </c>
      <c r="D17" s="3">
        <v>12</v>
      </c>
      <c r="E17" s="6">
        <f>LOG10(1.83*10^3)</f>
        <v>3.2624510897304293</v>
      </c>
    </row>
    <row r="18" spans="1:5" x14ac:dyDescent="0.25">
      <c r="A18" s="4">
        <v>12628</v>
      </c>
      <c r="B18" s="4" t="s">
        <v>5</v>
      </c>
      <c r="C18" s="4" t="s">
        <v>41</v>
      </c>
      <c r="D18" s="3">
        <v>14</v>
      </c>
      <c r="E18" s="6">
        <f>LOG10(10.35*10^2)</f>
        <v>3.0149403497929366</v>
      </c>
    </row>
    <row r="19" spans="1:5" x14ac:dyDescent="0.25">
      <c r="A19" s="4">
        <v>12628</v>
      </c>
      <c r="B19" s="4" t="s">
        <v>5</v>
      </c>
      <c r="C19" s="4" t="s">
        <v>41</v>
      </c>
      <c r="D19" s="3">
        <v>16</v>
      </c>
      <c r="E19" s="6">
        <f>LOG10(3*10^2)</f>
        <v>2.4771212547196626</v>
      </c>
    </row>
    <row r="20" spans="1:5" x14ac:dyDescent="0.25">
      <c r="A20" s="4">
        <v>12628</v>
      </c>
      <c r="B20" s="4" t="s">
        <v>5</v>
      </c>
      <c r="C20" s="4" t="s">
        <v>41</v>
      </c>
      <c r="D20" s="3">
        <v>18</v>
      </c>
      <c r="E20" s="6">
        <f>LOG10(5.5*10^2)</f>
        <v>2.7403626894942437</v>
      </c>
    </row>
    <row r="21" spans="1:5" x14ac:dyDescent="0.25">
      <c r="A21" s="4">
        <v>12628</v>
      </c>
      <c r="B21" s="4" t="s">
        <v>5</v>
      </c>
      <c r="C21" s="4" t="s">
        <v>41</v>
      </c>
      <c r="D21" s="3">
        <v>20</v>
      </c>
      <c r="E21" s="6">
        <f>LOG10(1.5*10^3)</f>
        <v>3.1760912590556813</v>
      </c>
    </row>
    <row r="22" spans="1:5" x14ac:dyDescent="0.25">
      <c r="A22" s="4">
        <v>12628</v>
      </c>
      <c r="B22" s="4" t="s">
        <v>5</v>
      </c>
      <c r="C22" s="4" t="s">
        <v>41</v>
      </c>
      <c r="D22" s="3">
        <v>22</v>
      </c>
      <c r="E22" s="6">
        <f>LOG10(2.5*10^2)</f>
        <v>2.3979400086720375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122"/>
  <sheetViews>
    <sheetView zoomScale="80" zoomScaleNormal="80" workbookViewId="0"/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2.140625" style="4" bestFit="1" customWidth="1"/>
    <col min="7" max="16384" width="9.140625" style="4"/>
  </cols>
  <sheetData>
    <row r="1" spans="1:33" ht="24" customHeight="1" x14ac:dyDescent="0.25">
      <c r="A1" s="2" t="s">
        <v>0</v>
      </c>
      <c r="B1" s="1" t="s">
        <v>7</v>
      </c>
      <c r="C1" s="1" t="s">
        <v>8</v>
      </c>
      <c r="D1" s="2" t="s">
        <v>9</v>
      </c>
      <c r="E1" s="3"/>
      <c r="F1" s="2" t="s">
        <v>11</v>
      </c>
      <c r="G1" s="2" t="s">
        <v>12</v>
      </c>
      <c r="H1" s="2" t="s">
        <v>20</v>
      </c>
      <c r="I1" s="3"/>
      <c r="J1" s="3"/>
      <c r="K1" s="3"/>
      <c r="L1" s="3"/>
      <c r="M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</row>
    <row r="2" spans="1:33" x14ac:dyDescent="0.25">
      <c r="A2" s="3">
        <v>0</v>
      </c>
      <c r="B2" s="3">
        <v>5.8633228601204559</v>
      </c>
      <c r="C2" s="3">
        <f t="shared" ref="C2:C18" si="0">LOG((10^$G$5-10^$G$2)*10^(-1*((A2/$G$3)^$G$4))+10^$G$2)</f>
        <v>5.7727005746392619</v>
      </c>
      <c r="D2" s="3">
        <f t="shared" ref="D2:D18" si="1" xml:space="preserve"> (B2 - C2)^2</f>
        <v>8.2123986258350237E-3</v>
      </c>
      <c r="E2" s="3"/>
      <c r="F2" s="3" t="s">
        <v>16</v>
      </c>
      <c r="G2" s="6">
        <v>2.7310432979606931</v>
      </c>
      <c r="H2" s="6">
        <v>0.20396594211719835</v>
      </c>
      <c r="I2" s="3"/>
      <c r="J2" s="3"/>
      <c r="K2" s="3"/>
      <c r="L2" s="5" t="s">
        <v>21</v>
      </c>
      <c r="M2" s="6">
        <v>0.33249845646421206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</row>
    <row r="3" spans="1:33" x14ac:dyDescent="0.25">
      <c r="A3" s="3">
        <v>10</v>
      </c>
      <c r="B3" s="3">
        <v>4.9395192526186182</v>
      </c>
      <c r="C3" s="3">
        <f t="shared" si="0"/>
        <v>4.1700995255686975</v>
      </c>
      <c r="D3" s="3">
        <f t="shared" si="1"/>
        <v>0.5920067163735746</v>
      </c>
      <c r="E3" s="3"/>
      <c r="F3" s="3" t="s">
        <v>14</v>
      </c>
      <c r="G3" s="6">
        <v>8.9609455498853077</v>
      </c>
      <c r="H3" s="6">
        <v>1.065312709311093</v>
      </c>
      <c r="I3" s="3"/>
      <c r="J3" s="3"/>
      <c r="K3" s="3"/>
      <c r="L3" s="5" t="s">
        <v>24</v>
      </c>
      <c r="M3" s="6">
        <f>SQRT(M2)</f>
        <v>0.57662679131671646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</row>
    <row r="4" spans="1:33" x14ac:dyDescent="0.25">
      <c r="A4" s="3">
        <v>12</v>
      </c>
      <c r="B4" s="3">
        <v>3.4771212547196626</v>
      </c>
      <c r="C4" s="3">
        <f t="shared" si="0"/>
        <v>2.836637310274162</v>
      </c>
      <c r="D4" s="3">
        <f t="shared" si="1"/>
        <v>0.41021968309246709</v>
      </c>
      <c r="E4" s="3"/>
      <c r="F4" s="3" t="s">
        <v>15</v>
      </c>
      <c r="G4" s="6">
        <v>4.3877613765730263</v>
      </c>
      <c r="H4" s="6">
        <v>2.914984737824212</v>
      </c>
      <c r="I4" s="3"/>
      <c r="J4" s="3"/>
      <c r="K4" s="3"/>
      <c r="L4" s="5" t="s">
        <v>22</v>
      </c>
      <c r="M4" s="6">
        <v>0.8410125172044457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</row>
    <row r="5" spans="1:33" x14ac:dyDescent="0.25">
      <c r="A5" s="3">
        <v>14</v>
      </c>
      <c r="B5" s="3">
        <v>2.5250448070368452</v>
      </c>
      <c r="C5" s="3">
        <f t="shared" si="0"/>
        <v>2.7310827199465386</v>
      </c>
      <c r="D5" s="3">
        <f t="shared" si="1"/>
        <v>4.2451621556182415E-2</v>
      </c>
      <c r="E5" s="3"/>
      <c r="F5" s="3" t="s">
        <v>13</v>
      </c>
      <c r="G5" s="6">
        <v>5.772700574639261</v>
      </c>
      <c r="H5" s="6">
        <v>0.33291563220258003</v>
      </c>
      <c r="I5" s="3"/>
      <c r="J5" s="3"/>
      <c r="K5" s="3"/>
      <c r="L5" s="5" t="s">
        <v>23</v>
      </c>
      <c r="M5" s="6">
        <v>0.80432309809777935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</row>
    <row r="6" spans="1:33" x14ac:dyDescent="0.25">
      <c r="A6" s="3">
        <v>0</v>
      </c>
      <c r="B6" s="3">
        <v>5.6989700043360187</v>
      </c>
      <c r="C6" s="3">
        <f t="shared" si="0"/>
        <v>5.7727005746392619</v>
      </c>
      <c r="D6" s="3">
        <f t="shared" si="1"/>
        <v>5.4361969972414803E-3</v>
      </c>
      <c r="E6" s="3"/>
      <c r="F6" s="3"/>
      <c r="G6" s="3"/>
      <c r="H6" s="3"/>
      <c r="I6" s="3"/>
      <c r="J6" s="3"/>
      <c r="K6" s="3"/>
      <c r="L6" s="3"/>
      <c r="M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</row>
    <row r="7" spans="1:33" x14ac:dyDescent="0.25">
      <c r="A7" s="3">
        <v>10</v>
      </c>
      <c r="B7" s="3">
        <v>4.6020599913279625</v>
      </c>
      <c r="C7" s="3">
        <f t="shared" si="0"/>
        <v>4.1700995255686975</v>
      </c>
      <c r="D7" s="3">
        <f t="shared" si="1"/>
        <v>0.1865898439789612</v>
      </c>
      <c r="E7" s="3"/>
      <c r="F7" s="2" t="s">
        <v>25</v>
      </c>
      <c r="G7" s="3"/>
      <c r="H7" s="3"/>
      <c r="I7" s="3"/>
      <c r="J7" s="3"/>
      <c r="K7" s="3"/>
      <c r="L7" s="3"/>
      <c r="M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</row>
    <row r="8" spans="1:33" x14ac:dyDescent="0.25">
      <c r="A8" s="3">
        <v>12</v>
      </c>
      <c r="B8" s="3">
        <v>2.3617278360175926</v>
      </c>
      <c r="C8" s="3">
        <f t="shared" si="0"/>
        <v>2.836637310274162</v>
      </c>
      <c r="D8" s="3">
        <f t="shared" si="1"/>
        <v>0.22553900873865113</v>
      </c>
      <c r="E8" s="3"/>
      <c r="F8" s="3" t="s">
        <v>34</v>
      </c>
      <c r="G8" s="3"/>
      <c r="H8" s="3"/>
      <c r="I8" s="3"/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</row>
    <row r="9" spans="1:33" x14ac:dyDescent="0.25">
      <c r="A9" s="3">
        <v>14</v>
      </c>
      <c r="B9" s="3">
        <v>1.9294189257142926</v>
      </c>
      <c r="C9" s="3">
        <f t="shared" si="0"/>
        <v>2.7310827199465386</v>
      </c>
      <c r="D9" s="3">
        <f t="shared" si="1"/>
        <v>0.64266483898284088</v>
      </c>
      <c r="E9" s="3"/>
      <c r="F9" s="2" t="s">
        <v>27</v>
      </c>
      <c r="G9" s="3"/>
      <c r="H9" s="3"/>
      <c r="I9" s="3"/>
      <c r="J9" s="3"/>
      <c r="K9" s="3"/>
      <c r="L9" s="3"/>
      <c r="M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</row>
    <row r="10" spans="1:33" x14ac:dyDescent="0.25">
      <c r="A10" s="3">
        <v>16</v>
      </c>
      <c r="B10" s="3">
        <v>3</v>
      </c>
      <c r="C10" s="3">
        <f t="shared" si="0"/>
        <v>2.7310432980504591</v>
      </c>
      <c r="D10" s="3">
        <f t="shared" si="1"/>
        <v>7.2337707523574185E-2</v>
      </c>
      <c r="E10" s="3"/>
      <c r="F10" s="3" t="s">
        <v>35</v>
      </c>
      <c r="G10" s="3"/>
      <c r="H10" s="3"/>
      <c r="I10" s="3"/>
      <c r="J10" s="3"/>
      <c r="K10" s="3"/>
      <c r="L10" s="3"/>
      <c r="M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</row>
    <row r="11" spans="1:33" x14ac:dyDescent="0.25">
      <c r="A11" s="3">
        <v>18</v>
      </c>
      <c r="B11" s="3">
        <v>2.3324384599156054</v>
      </c>
      <c r="C11" s="3">
        <f t="shared" si="0"/>
        <v>2.7310432979606936</v>
      </c>
      <c r="D11" s="3">
        <f t="shared" si="1"/>
        <v>0.15888581691295098</v>
      </c>
      <c r="E11" s="3"/>
      <c r="F11" s="2" t="s">
        <v>29</v>
      </c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</row>
    <row r="12" spans="1:33" x14ac:dyDescent="0.25">
      <c r="A12" s="3">
        <v>0</v>
      </c>
      <c r="B12" s="3">
        <v>5.7558748556724915</v>
      </c>
      <c r="C12" s="3">
        <f t="shared" si="0"/>
        <v>5.7727005746392619</v>
      </c>
      <c r="D12" s="3">
        <f t="shared" si="1"/>
        <v>2.8310481874873825E-4</v>
      </c>
      <c r="E12" s="3"/>
      <c r="F12" s="11" t="s">
        <v>36</v>
      </c>
      <c r="G12" s="12"/>
      <c r="H12" s="12"/>
      <c r="I12" s="12"/>
      <c r="J12" s="12"/>
      <c r="K12" s="12"/>
      <c r="L12" s="12"/>
      <c r="M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</row>
    <row r="13" spans="1:33" x14ac:dyDescent="0.25">
      <c r="A13" s="3">
        <v>10</v>
      </c>
      <c r="B13" s="3">
        <v>2.9684829485539352</v>
      </c>
      <c r="C13" s="3">
        <f t="shared" si="0"/>
        <v>4.1700995255686975</v>
      </c>
      <c r="D13" s="3">
        <f t="shared" si="1"/>
        <v>1.443882398156674</v>
      </c>
      <c r="E13" s="3"/>
      <c r="F13" s="12"/>
      <c r="G13" s="12"/>
      <c r="H13" s="12"/>
      <c r="I13" s="12"/>
      <c r="J13" s="12"/>
      <c r="K13" s="12"/>
      <c r="L13" s="12"/>
      <c r="M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</row>
    <row r="14" spans="1:33" x14ac:dyDescent="0.25">
      <c r="A14" s="3">
        <v>12</v>
      </c>
      <c r="B14" s="3">
        <v>2.6720978579357175</v>
      </c>
      <c r="C14" s="3">
        <f t="shared" si="0"/>
        <v>2.836637310274162</v>
      </c>
      <c r="D14" s="3">
        <f t="shared" si="1"/>
        <v>2.7073231375835238E-2</v>
      </c>
      <c r="E14" s="3"/>
      <c r="F14" s="12"/>
      <c r="G14" s="12"/>
      <c r="H14" s="12"/>
      <c r="I14" s="12"/>
      <c r="J14" s="12"/>
      <c r="K14" s="12"/>
      <c r="L14" s="12"/>
      <c r="M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</row>
    <row r="15" spans="1:33" x14ac:dyDescent="0.25">
      <c r="A15" s="3">
        <v>14</v>
      </c>
      <c r="B15" s="3">
        <v>3.0606978403536118</v>
      </c>
      <c r="C15" s="3">
        <f t="shared" si="0"/>
        <v>2.7310827199465386</v>
      </c>
      <c r="D15" s="3">
        <f t="shared" si="1"/>
        <v>0.10864612760096935</v>
      </c>
      <c r="E15" s="3"/>
      <c r="F15" s="3"/>
      <c r="G15" s="3"/>
      <c r="H15" s="3"/>
      <c r="I15" s="3"/>
      <c r="J15" s="3"/>
      <c r="K15" s="3"/>
      <c r="L15" s="3"/>
      <c r="M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</row>
    <row r="16" spans="1:33" x14ac:dyDescent="0.25">
      <c r="A16" s="3">
        <v>16</v>
      </c>
      <c r="B16" s="3">
        <v>2.6989700043360187</v>
      </c>
      <c r="C16" s="3">
        <f t="shared" si="0"/>
        <v>2.7310432980504591</v>
      </c>
      <c r="D16" s="3">
        <f t="shared" si="1"/>
        <v>1.0286961696927585E-3</v>
      </c>
      <c r="E16" s="3"/>
      <c r="F16" s="3"/>
      <c r="G16" s="3"/>
      <c r="H16" s="3"/>
      <c r="I16" s="3"/>
      <c r="J16" s="3"/>
      <c r="K16" s="3"/>
      <c r="L16" s="3"/>
      <c r="M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</row>
    <row r="17" spans="1:33" x14ac:dyDescent="0.25">
      <c r="A17" s="3">
        <v>18</v>
      </c>
      <c r="B17" s="3">
        <v>3.3010299956639813</v>
      </c>
      <c r="C17" s="3">
        <f t="shared" si="0"/>
        <v>2.7310432979606936</v>
      </c>
      <c r="D17" s="3">
        <f t="shared" si="1"/>
        <v>0.32488483555869907</v>
      </c>
      <c r="E17" s="3"/>
      <c r="F17" s="3"/>
      <c r="G17" s="3"/>
      <c r="H17" s="3"/>
      <c r="I17" s="3"/>
      <c r="J17" s="3"/>
      <c r="K17" s="3"/>
      <c r="L17" s="3"/>
      <c r="M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</row>
    <row r="18" spans="1:33" x14ac:dyDescent="0.25">
      <c r="A18" s="3">
        <v>20</v>
      </c>
      <c r="B18" s="3">
        <v>3</v>
      </c>
      <c r="C18" s="3">
        <f t="shared" si="0"/>
        <v>2.7310432979606936</v>
      </c>
      <c r="D18" s="3">
        <f t="shared" si="1"/>
        <v>7.2337707571860269E-2</v>
      </c>
      <c r="E18" s="3"/>
      <c r="F18" s="3"/>
      <c r="G18" s="3"/>
      <c r="H18" s="3"/>
      <c r="I18" s="3"/>
      <c r="J18" s="3"/>
      <c r="K18" s="3"/>
      <c r="L18" s="3"/>
      <c r="M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</row>
    <row r="19" spans="1:33" x14ac:dyDescent="0.25">
      <c r="A19" s="2" t="s">
        <v>10</v>
      </c>
      <c r="B19" s="3"/>
      <c r="C19" s="3"/>
      <c r="D19" s="3">
        <f>SUM(D2:D18)</f>
        <v>4.3224799340347566</v>
      </c>
      <c r="E19" s="3"/>
      <c r="F19" s="3"/>
      <c r="G19" s="3"/>
      <c r="H19" s="3"/>
      <c r="I19" s="3"/>
      <c r="J19" s="3"/>
      <c r="K19" s="3"/>
      <c r="L19" s="3"/>
      <c r="M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</row>
    <row r="20" spans="1:33" x14ac:dyDescent="0.25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</row>
    <row r="21" spans="1:33" x14ac:dyDescent="0.25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</row>
    <row r="22" spans="1:33" x14ac:dyDescent="0.25">
      <c r="A22" s="3">
        <v>0</v>
      </c>
      <c r="B22" s="3"/>
      <c r="C22" s="3">
        <f>LOG((10^$G$5-10^$G$2)*10^(-1*((A22/$G$3)^$G$4))+10^$G$2)</f>
        <v>5.7727005746392619</v>
      </c>
      <c r="D22" s="3"/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</row>
    <row r="23" spans="1:33" x14ac:dyDescent="0.25">
      <c r="A23" s="3">
        <v>0.2</v>
      </c>
      <c r="B23" s="3"/>
      <c r="C23" s="3">
        <f t="shared" ref="C23:C86" si="2">LOG((10^$G$5-10^$G$2)*10^(-1*((A23/$G$3)^$G$4))+10^$G$2)</f>
        <v>5.7727005178860731</v>
      </c>
      <c r="D23" s="3"/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</row>
    <row r="24" spans="1:33" x14ac:dyDescent="0.25">
      <c r="A24" s="3">
        <v>0.4</v>
      </c>
      <c r="B24" s="3"/>
      <c r="C24" s="3">
        <f t="shared" si="2"/>
        <v>5.7726993865801264</v>
      </c>
      <c r="D24" s="3"/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</row>
    <row r="25" spans="1:33" x14ac:dyDescent="0.25">
      <c r="A25" s="3">
        <v>0.60000000000000009</v>
      </c>
      <c r="B25" s="3"/>
      <c r="C25" s="3">
        <f t="shared" si="2"/>
        <v>5.7726935360685054</v>
      </c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</row>
    <row r="26" spans="1:33" x14ac:dyDescent="0.25">
      <c r="A26" s="3">
        <v>0.8</v>
      </c>
      <c r="B26" s="3"/>
      <c r="C26" s="3">
        <f t="shared" si="2"/>
        <v>5.7726757040637189</v>
      </c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</row>
    <row r="27" spans="1:33" x14ac:dyDescent="0.25">
      <c r="A27" s="3">
        <v>1</v>
      </c>
      <c r="B27" s="3"/>
      <c r="C27" s="3">
        <f t="shared" si="2"/>
        <v>5.7726343676515306</v>
      </c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</row>
    <row r="28" spans="1:33" x14ac:dyDescent="0.25">
      <c r="A28" s="3">
        <v>1.2</v>
      </c>
      <c r="B28" s="3"/>
      <c r="C28" s="3">
        <f t="shared" si="2"/>
        <v>5.7725532307242347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</row>
    <row r="29" spans="1:33" x14ac:dyDescent="0.25">
      <c r="A29" s="3">
        <v>1.4</v>
      </c>
      <c r="B29" s="3"/>
      <c r="C29" s="3">
        <f t="shared" si="2"/>
        <v>5.7724107877865132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</row>
    <row r="30" spans="1:33" x14ac:dyDescent="0.25">
      <c r="A30" s="3">
        <v>1.5999999999999999</v>
      </c>
      <c r="B30" s="3"/>
      <c r="C30" s="3">
        <f t="shared" si="2"/>
        <v>5.7721799395939231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</row>
    <row r="31" spans="1:33" x14ac:dyDescent="0.25">
      <c r="A31" s="3">
        <v>1.7999999999999998</v>
      </c>
      <c r="B31" s="3"/>
      <c r="C31" s="3">
        <f t="shared" si="2"/>
        <v>5.7718276468882772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</row>
    <row r="32" spans="1:33" x14ac:dyDescent="0.25">
      <c r="A32" s="3">
        <v>1.9999999999999998</v>
      </c>
      <c r="B32" s="3"/>
      <c r="C32" s="3">
        <f t="shared" si="2"/>
        <v>5.7713146136180695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</row>
    <row r="33" spans="1:33" x14ac:dyDescent="0.25">
      <c r="A33" s="3">
        <v>2.1999999999999997</v>
      </c>
      <c r="B33" s="3"/>
      <c r="C33" s="3">
        <f t="shared" si="2"/>
        <v>5.7705949938310876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</row>
    <row r="34" spans="1:33" x14ac:dyDescent="0.25">
      <c r="A34" s="3">
        <v>2.4</v>
      </c>
      <c r="B34" s="3"/>
      <c r="C34" s="3">
        <f t="shared" si="2"/>
        <v>5.7696161181053149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</row>
    <row r="35" spans="1:33" x14ac:dyDescent="0.25">
      <c r="A35" s="3">
        <v>2.6</v>
      </c>
      <c r="B35" s="3"/>
      <c r="C35" s="3">
        <f t="shared" si="2"/>
        <v>5.7683182364619938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</row>
    <row r="36" spans="1:33" x14ac:dyDescent="0.25">
      <c r="A36" s="3">
        <v>2.8000000000000003</v>
      </c>
      <c r="B36" s="3"/>
      <c r="C36" s="3">
        <f t="shared" si="2"/>
        <v>5.7666342754337565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</row>
    <row r="37" spans="1:33" x14ac:dyDescent="0.25">
      <c r="A37" s="3">
        <v>3.0000000000000004</v>
      </c>
      <c r="B37" s="3"/>
      <c r="C37" s="3">
        <f t="shared" si="2"/>
        <v>5.7644896074752401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</row>
    <row r="38" spans="1:33" x14ac:dyDescent="0.25">
      <c r="A38" s="3">
        <v>3.2000000000000006</v>
      </c>
      <c r="B38" s="3"/>
      <c r="C38" s="3">
        <f t="shared" si="2"/>
        <v>5.7618018312802048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</row>
    <row r="39" spans="1:33" x14ac:dyDescent="0.25">
      <c r="A39" s="3">
        <v>3.4000000000000008</v>
      </c>
      <c r="B39" s="3"/>
      <c r="C39" s="3">
        <f t="shared" si="2"/>
        <v>5.7584805618541264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</row>
    <row r="40" spans="1:33" x14ac:dyDescent="0.25">
      <c r="A40" s="3">
        <v>3.600000000000001</v>
      </c>
      <c r="B40" s="3"/>
      <c r="C40" s="3">
        <f t="shared" si="2"/>
        <v>5.754427229414004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</row>
    <row r="41" spans="1:33" x14ac:dyDescent="0.25">
      <c r="A41" s="3">
        <v>3.8000000000000012</v>
      </c>
      <c r="B41" s="3"/>
      <c r="C41" s="3">
        <f t="shared" si="2"/>
        <v>5.7495348863674778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</row>
    <row r="42" spans="1:33" x14ac:dyDescent="0.25">
      <c r="A42" s="3">
        <v>4.0000000000000009</v>
      </c>
      <c r="B42" s="3"/>
      <c r="C42" s="3">
        <f t="shared" si="2"/>
        <v>5.7436880217753137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</row>
    <row r="43" spans="1:33" x14ac:dyDescent="0.25">
      <c r="A43" s="3">
        <v>4.2000000000000011</v>
      </c>
      <c r="B43" s="3"/>
      <c r="C43" s="3">
        <f t="shared" si="2"/>
        <v>5.7367623828355239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</row>
    <row r="44" spans="1:33" x14ac:dyDescent="0.25">
      <c r="A44" s="3">
        <v>4.4000000000000012</v>
      </c>
      <c r="B44" s="3"/>
      <c r="C44" s="3">
        <f t="shared" si="2"/>
        <v>5.7286248030527913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</row>
    <row r="45" spans="1:33" x14ac:dyDescent="0.25">
      <c r="A45" s="3">
        <v>4.6000000000000014</v>
      </c>
      <c r="B45" s="3"/>
      <c r="C45" s="3">
        <f t="shared" si="2"/>
        <v>5.7191330368816562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</row>
    <row r="46" spans="1:33" x14ac:dyDescent="0.25">
      <c r="A46" s="3">
        <v>4.8000000000000016</v>
      </c>
      <c r="B46" s="3"/>
      <c r="C46" s="3">
        <f t="shared" si="2"/>
        <v>5.7081356007647095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</row>
    <row r="47" spans="1:33" x14ac:dyDescent="0.25">
      <c r="A47" s="3">
        <v>5.0000000000000018</v>
      </c>
      <c r="B47" s="3"/>
      <c r="C47" s="3">
        <f t="shared" si="2"/>
        <v>5.6954716206376146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</row>
    <row r="48" spans="1:33" x14ac:dyDescent="0.25">
      <c r="A48" s="3">
        <v>5.200000000000002</v>
      </c>
      <c r="B48" s="3"/>
      <c r="C48" s="3">
        <f t="shared" si="2"/>
        <v>5.6809706861536471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</row>
    <row r="49" spans="1:33" x14ac:dyDescent="0.25">
      <c r="A49" s="3">
        <v>5.4000000000000021</v>
      </c>
      <c r="B49" s="3"/>
      <c r="C49" s="3">
        <f t="shared" si="2"/>
        <v>5.6644527121077717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</row>
    <row r="50" spans="1:33" x14ac:dyDescent="0.25">
      <c r="A50" s="3">
        <v>5.6000000000000023</v>
      </c>
      <c r="B50" s="3"/>
      <c r="C50" s="3">
        <f t="shared" si="2"/>
        <v>5.6457278078368827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</row>
    <row r="51" spans="1:33" x14ac:dyDescent="0.25">
      <c r="A51" s="3">
        <v>5.8000000000000025</v>
      </c>
      <c r="B51" s="3"/>
      <c r="C51" s="3">
        <f t="shared" si="2"/>
        <v>5.6245961557704911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</row>
    <row r="52" spans="1:33" x14ac:dyDescent="0.25">
      <c r="A52" s="3">
        <v>6.0000000000000027</v>
      </c>
      <c r="B52" s="3"/>
      <c r="C52" s="3">
        <f t="shared" si="2"/>
        <v>5.6008479008510204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</row>
    <row r="53" spans="1:33" x14ac:dyDescent="0.25">
      <c r="A53" s="3">
        <v>6.2000000000000028</v>
      </c>
      <c r="B53" s="3"/>
      <c r="C53" s="3">
        <f t="shared" si="2"/>
        <v>5.5742630533024435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</row>
    <row r="54" spans="1:33" x14ac:dyDescent="0.25">
      <c r="A54" s="3">
        <v>6.400000000000003</v>
      </c>
      <c r="B54" s="3"/>
      <c r="C54" s="3">
        <f t="shared" si="2"/>
        <v>5.5446114083000451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</row>
    <row r="55" spans="1:33" x14ac:dyDescent="0.25">
      <c r="A55" s="3">
        <v>6.6000000000000032</v>
      </c>
      <c r="B55" s="3"/>
      <c r="C55" s="3">
        <f t="shared" si="2"/>
        <v>5.5116524876323032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</row>
    <row r="56" spans="1:33" x14ac:dyDescent="0.25">
      <c r="A56" s="3">
        <v>6.8000000000000034</v>
      </c>
      <c r="B56" s="3"/>
      <c r="C56" s="3">
        <f t="shared" si="2"/>
        <v>5.4751355106745372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</row>
    <row r="57" spans="1:33" x14ac:dyDescent="0.25">
      <c r="A57" s="3">
        <v>7.0000000000000036</v>
      </c>
      <c r="B57" s="3"/>
      <c r="C57" s="3">
        <f t="shared" si="2"/>
        <v>5.4347994052591915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</row>
    <row r="58" spans="1:33" x14ac:dyDescent="0.25">
      <c r="A58" s="3">
        <v>7.2000000000000037</v>
      </c>
      <c r="B58" s="3"/>
      <c r="C58" s="3">
        <f t="shared" si="2"/>
        <v>5.3903728738641066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</row>
    <row r="59" spans="1:33" x14ac:dyDescent="0.25">
      <c r="A59" s="3">
        <v>7.4000000000000039</v>
      </c>
      <c r="B59" s="3"/>
      <c r="C59" s="3">
        <f t="shared" si="2"/>
        <v>5.3415745377826127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</row>
    <row r="60" spans="1:33" x14ac:dyDescent="0.25">
      <c r="A60" s="3">
        <v>7.6000000000000041</v>
      </c>
      <c r="B60" s="3"/>
      <c r="C60" s="3">
        <f t="shared" si="2"/>
        <v>5.2881131929044169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</row>
    <row r="61" spans="1:33" x14ac:dyDescent="0.25">
      <c r="A61" s="3">
        <v>7.8000000000000043</v>
      </c>
      <c r="B61" s="3"/>
      <c r="C61" s="3">
        <f t="shared" si="2"/>
        <v>5.2296882275235141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</row>
    <row r="62" spans="1:33" x14ac:dyDescent="0.25">
      <c r="A62" s="3">
        <v>8.0000000000000036</v>
      </c>
      <c r="B62" s="3"/>
      <c r="C62" s="3">
        <f t="shared" si="2"/>
        <v>5.1659902785806775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</row>
    <row r="63" spans="1:33" x14ac:dyDescent="0.25">
      <c r="A63" s="3">
        <v>8.2000000000000028</v>
      </c>
      <c r="B63" s="3"/>
      <c r="C63" s="3">
        <f t="shared" si="2"/>
        <v>5.0967022434484619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</row>
    <row r="64" spans="1:33" x14ac:dyDescent="0.25">
      <c r="A64" s="3">
        <v>8.4000000000000021</v>
      </c>
      <c r="B64" s="3"/>
      <c r="C64" s="3">
        <f t="shared" si="2"/>
        <v>5.0215008288242036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</row>
    <row r="65" spans="1:33" x14ac:dyDescent="0.25">
      <c r="A65" s="3">
        <v>8.6000000000000014</v>
      </c>
      <c r="B65" s="3"/>
      <c r="C65" s="3">
        <f t="shared" si="2"/>
        <v>4.9400589215151784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</row>
    <row r="66" spans="1:33" x14ac:dyDescent="0.25">
      <c r="A66" s="3">
        <v>8.8000000000000007</v>
      </c>
      <c r="B66" s="3"/>
      <c r="C66" s="3">
        <f t="shared" si="2"/>
        <v>4.8520492329430533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</row>
    <row r="67" spans="1:33" x14ac:dyDescent="0.25">
      <c r="A67" s="3">
        <v>9</v>
      </c>
      <c r="B67" s="3"/>
      <c r="C67" s="3">
        <f t="shared" si="2"/>
        <v>4.7571499421254551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</row>
    <row r="68" spans="1:33" x14ac:dyDescent="0.25">
      <c r="A68" s="3">
        <v>9.1999999999999993</v>
      </c>
      <c r="B68" s="3"/>
      <c r="C68" s="3">
        <f t="shared" si="2"/>
        <v>4.6550535113335494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</row>
    <row r="69" spans="1:33" x14ac:dyDescent="0.25">
      <c r="A69" s="3">
        <v>9.3999999999999986</v>
      </c>
      <c r="B69" s="3"/>
      <c r="C69" s="3">
        <f t="shared" si="2"/>
        <v>4.545480592315859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</row>
    <row r="70" spans="1:33" x14ac:dyDescent="0.25">
      <c r="A70" s="3">
        <v>9.5999999999999979</v>
      </c>
      <c r="B70" s="3"/>
      <c r="C70" s="3">
        <f t="shared" si="2"/>
        <v>4.4282021712638313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</row>
    <row r="71" spans="1:33" x14ac:dyDescent="0.25">
      <c r="A71" s="3">
        <v>9.7999999999999972</v>
      </c>
      <c r="B71" s="3"/>
      <c r="C71" s="3">
        <f t="shared" si="2"/>
        <v>4.3030751175626323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</row>
    <row r="72" spans="1:33" x14ac:dyDescent="0.25">
      <c r="A72" s="3">
        <v>9.9999999999999964</v>
      </c>
      <c r="B72" s="3"/>
      <c r="C72" s="3">
        <f t="shared" si="2"/>
        <v>4.1700995255687001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</row>
    <row r="73" spans="1:33" x14ac:dyDescent="0.25">
      <c r="A73" s="3">
        <v>10.199999999999996</v>
      </c>
      <c r="B73" s="3"/>
      <c r="C73" s="3">
        <f t="shared" si="2"/>
        <v>4.0295111061589051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</row>
    <row r="74" spans="1:33" x14ac:dyDescent="0.25">
      <c r="A74" s="3">
        <v>10.399999999999995</v>
      </c>
      <c r="B74" s="3"/>
      <c r="C74" s="3">
        <f t="shared" si="2"/>
        <v>3.8819283135841673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</row>
    <row r="75" spans="1:33" x14ac:dyDescent="0.25">
      <c r="A75" s="3">
        <v>10.599999999999994</v>
      </c>
      <c r="B75" s="3"/>
      <c r="C75" s="3">
        <f t="shared" si="2"/>
        <v>3.7285795028756694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</row>
    <row r="76" spans="1:33" x14ac:dyDescent="0.25">
      <c r="A76" s="3">
        <v>10.799999999999994</v>
      </c>
      <c r="B76" s="3"/>
      <c r="C76" s="3">
        <f t="shared" si="2"/>
        <v>3.5716308141782953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</row>
    <row r="77" spans="1:33" x14ac:dyDescent="0.25">
      <c r="A77" s="3">
        <v>10.999999999999993</v>
      </c>
      <c r="B77" s="3"/>
      <c r="C77" s="3">
        <f t="shared" si="2"/>
        <v>3.4145951678720929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</row>
    <row r="78" spans="1:33" x14ac:dyDescent="0.25">
      <c r="A78" s="3">
        <v>11.199999999999992</v>
      </c>
      <c r="B78" s="3"/>
      <c r="C78" s="3">
        <f t="shared" si="2"/>
        <v>3.2626792996736684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</row>
    <row r="79" spans="1:33" x14ac:dyDescent="0.25">
      <c r="A79" s="3">
        <v>11.399999999999991</v>
      </c>
      <c r="B79" s="3"/>
      <c r="C79" s="3">
        <f t="shared" si="2"/>
        <v>3.1226915554289221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</row>
    <row r="80" spans="1:33" x14ac:dyDescent="0.25">
      <c r="A80" s="3">
        <v>11.599999999999991</v>
      </c>
      <c r="B80" s="3"/>
      <c r="C80" s="3">
        <f t="shared" si="2"/>
        <v>3.0019540032020791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</row>
    <row r="81" spans="1:33" x14ac:dyDescent="0.25">
      <c r="A81" s="3">
        <v>11.79999999999999</v>
      </c>
      <c r="B81" s="3"/>
      <c r="C81" s="3">
        <f t="shared" si="2"/>
        <v>2.9060679024710998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</row>
    <row r="82" spans="1:33" x14ac:dyDescent="0.25">
      <c r="A82" s="3">
        <v>11.999999999999989</v>
      </c>
      <c r="B82" s="3"/>
      <c r="C82" s="3">
        <f t="shared" si="2"/>
        <v>2.8366373102741647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</row>
    <row r="83" spans="1:33" x14ac:dyDescent="0.25">
      <c r="A83" s="3">
        <v>12.199999999999989</v>
      </c>
      <c r="B83" s="3"/>
      <c r="C83" s="3">
        <f t="shared" si="2"/>
        <v>2.7907980568404258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</row>
    <row r="84" spans="1:33" x14ac:dyDescent="0.25">
      <c r="A84" s="3">
        <v>12.399999999999988</v>
      </c>
      <c r="B84" s="3"/>
      <c r="C84" s="3">
        <f t="shared" si="2"/>
        <v>2.7629695177347822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</row>
    <row r="85" spans="1:33" x14ac:dyDescent="0.25">
      <c r="A85" s="3">
        <v>12.599999999999987</v>
      </c>
      <c r="B85" s="3"/>
      <c r="C85" s="3">
        <f t="shared" si="2"/>
        <v>2.7472469922542548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</row>
    <row r="86" spans="1:33" x14ac:dyDescent="0.25">
      <c r="A86" s="3">
        <v>12.799999999999986</v>
      </c>
      <c r="B86" s="3"/>
      <c r="C86" s="3">
        <f t="shared" si="2"/>
        <v>2.7388890637375995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</row>
    <row r="87" spans="1:33" x14ac:dyDescent="0.25">
      <c r="A87" s="3">
        <v>12.999999999999986</v>
      </c>
      <c r="B87" s="3"/>
      <c r="C87" s="3">
        <f t="shared" ref="C87:C122" si="3">LOG((10^$G$5-10^$G$2)*10^(-1*((A87/$G$3)^$G$4))+10^$G$2)</f>
        <v>2.7346759157474581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</row>
    <row r="88" spans="1:33" x14ac:dyDescent="0.25">
      <c r="A88" s="3">
        <v>13.199999999999985</v>
      </c>
      <c r="B88" s="3"/>
      <c r="C88" s="3">
        <f t="shared" si="3"/>
        <v>2.7326528359066757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</row>
    <row r="89" spans="1:33" x14ac:dyDescent="0.25">
      <c r="A89" s="3">
        <v>13.399999999999984</v>
      </c>
      <c r="B89" s="3"/>
      <c r="C89" s="3">
        <f t="shared" si="3"/>
        <v>2.7317255760084791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</row>
    <row r="90" spans="1:33" x14ac:dyDescent="0.25">
      <c r="A90" s="3">
        <v>13.599999999999984</v>
      </c>
      <c r="B90" s="3"/>
      <c r="C90" s="3">
        <f t="shared" si="3"/>
        <v>2.7313197408751724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</row>
    <row r="91" spans="1:33" x14ac:dyDescent="0.25">
      <c r="A91" s="3">
        <v>13.799999999999983</v>
      </c>
      <c r="B91" s="3"/>
      <c r="C91" s="3">
        <f t="shared" si="3"/>
        <v>2.7311502229452063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</row>
    <row r="92" spans="1:33" x14ac:dyDescent="0.25">
      <c r="A92" s="3">
        <v>13.999999999999982</v>
      </c>
      <c r="B92" s="3"/>
      <c r="C92" s="3">
        <f t="shared" si="3"/>
        <v>2.7310827199465386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</row>
    <row r="93" spans="1:33" x14ac:dyDescent="0.25">
      <c r="A93" s="3">
        <v>14.199999999999982</v>
      </c>
      <c r="B93" s="3"/>
      <c r="C93" s="3">
        <f t="shared" si="3"/>
        <v>2.7310571300472035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</row>
    <row r="94" spans="1:33" x14ac:dyDescent="0.25">
      <c r="A94" s="3">
        <v>14.399999999999981</v>
      </c>
      <c r="B94" s="3"/>
      <c r="C94" s="3">
        <f t="shared" si="3"/>
        <v>2.7310479090051274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</row>
    <row r="95" spans="1:33" x14ac:dyDescent="0.25">
      <c r="A95" s="3">
        <v>14.59999999999998</v>
      </c>
      <c r="B95" s="3"/>
      <c r="C95" s="3">
        <f t="shared" si="3"/>
        <v>2.7310447558468476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</row>
    <row r="96" spans="1:33" x14ac:dyDescent="0.25">
      <c r="A96" s="3">
        <v>14.799999999999979</v>
      </c>
      <c r="B96" s="3"/>
      <c r="C96" s="3">
        <f t="shared" si="3"/>
        <v>2.7310437343690084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</row>
    <row r="97" spans="1:33" x14ac:dyDescent="0.25">
      <c r="A97" s="3">
        <v>14.999999999999979</v>
      </c>
      <c r="B97" s="3"/>
      <c r="C97" s="3">
        <f t="shared" si="3"/>
        <v>2.7310434214200203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</row>
    <row r="98" spans="1:33" x14ac:dyDescent="0.25">
      <c r="A98" s="3">
        <v>15.199999999999978</v>
      </c>
      <c r="B98" s="3"/>
      <c r="C98" s="3">
        <f t="shared" si="3"/>
        <v>2.7310433309078048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</row>
    <row r="99" spans="1:33" x14ac:dyDescent="0.25">
      <c r="A99" s="3">
        <v>15.399999999999977</v>
      </c>
      <c r="B99" s="3"/>
      <c r="C99" s="3">
        <f t="shared" si="3"/>
        <v>2.7310433062393393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</row>
    <row r="100" spans="1:33" x14ac:dyDescent="0.25">
      <c r="A100" s="3">
        <v>15.599999999999977</v>
      </c>
      <c r="B100" s="3"/>
      <c r="C100" s="3">
        <f t="shared" si="3"/>
        <v>2.731043299915576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</row>
    <row r="101" spans="1:33" x14ac:dyDescent="0.25">
      <c r="A101" s="3">
        <v>15.799999999999976</v>
      </c>
      <c r="B101" s="3"/>
      <c r="C101" s="3">
        <f t="shared" si="3"/>
        <v>2.7310432983936632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</row>
    <row r="102" spans="1:33" x14ac:dyDescent="0.25">
      <c r="A102" s="3">
        <v>15.999999999999975</v>
      </c>
      <c r="B102" s="3"/>
      <c r="C102" s="3">
        <f t="shared" si="3"/>
        <v>2.7310432980504591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</row>
    <row r="103" spans="1:33" x14ac:dyDescent="0.25">
      <c r="A103" s="3">
        <v>16.199999999999974</v>
      </c>
      <c r="B103" s="3"/>
      <c r="C103" s="3">
        <f t="shared" si="3"/>
        <v>2.7310432979780797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</row>
    <row r="104" spans="1:33" x14ac:dyDescent="0.25">
      <c r="A104" s="3">
        <v>16.399999999999974</v>
      </c>
      <c r="B104" s="3"/>
      <c r="C104" s="3">
        <f t="shared" si="3"/>
        <v>2.7310432979638328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</row>
    <row r="105" spans="1:33" x14ac:dyDescent="0.25">
      <c r="A105" s="3">
        <v>16.599999999999973</v>
      </c>
      <c r="B105" s="3"/>
      <c r="C105" s="3">
        <f t="shared" si="3"/>
        <v>2.7310432979612207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</row>
    <row r="106" spans="1:33" x14ac:dyDescent="0.25">
      <c r="A106" s="3">
        <v>16.799999999999972</v>
      </c>
      <c r="B106" s="3"/>
      <c r="C106" s="3">
        <f t="shared" si="3"/>
        <v>2.7310432979607757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</row>
    <row r="107" spans="1:33" x14ac:dyDescent="0.25">
      <c r="A107" s="3">
        <v>16.999999999999972</v>
      </c>
      <c r="B107" s="3"/>
      <c r="C107" s="3">
        <f t="shared" si="3"/>
        <v>2.7310432979607056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</row>
    <row r="108" spans="1:33" x14ac:dyDescent="0.25">
      <c r="A108" s="3">
        <v>17.199999999999971</v>
      </c>
      <c r="B108" s="3"/>
      <c r="C108" s="3">
        <f t="shared" si="3"/>
        <v>2.7310432979606949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</row>
    <row r="109" spans="1:33" x14ac:dyDescent="0.25">
      <c r="A109" s="3">
        <v>17.39999999999997</v>
      </c>
      <c r="B109" s="3"/>
      <c r="C109" s="3">
        <f t="shared" si="3"/>
        <v>2.7310432979606936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</row>
    <row r="110" spans="1:33" x14ac:dyDescent="0.25">
      <c r="A110" s="3">
        <v>17.599999999999969</v>
      </c>
      <c r="B110" s="3"/>
      <c r="C110" s="3">
        <f t="shared" si="3"/>
        <v>2.7310432979606936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</row>
    <row r="111" spans="1:33" x14ac:dyDescent="0.25">
      <c r="A111" s="3">
        <v>17.799999999999969</v>
      </c>
      <c r="B111" s="3"/>
      <c r="C111" s="3">
        <f t="shared" si="3"/>
        <v>2.7310432979606936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</row>
    <row r="112" spans="1:33" x14ac:dyDescent="0.25">
      <c r="A112" s="3">
        <v>17.999999999999968</v>
      </c>
      <c r="B112" s="3"/>
      <c r="C112" s="3">
        <f t="shared" si="3"/>
        <v>2.7310432979606936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</row>
    <row r="113" spans="1:33" x14ac:dyDescent="0.25">
      <c r="A113" s="3">
        <v>18.199999999999967</v>
      </c>
      <c r="B113" s="3"/>
      <c r="C113" s="3">
        <f t="shared" si="3"/>
        <v>2.7310432979606936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</row>
    <row r="114" spans="1:33" x14ac:dyDescent="0.25">
      <c r="A114" s="3">
        <v>18.399999999999967</v>
      </c>
      <c r="B114" s="3"/>
      <c r="C114" s="3">
        <f t="shared" si="3"/>
        <v>2.7310432979606936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</row>
    <row r="115" spans="1:33" x14ac:dyDescent="0.25">
      <c r="A115" s="3">
        <v>18.599999999999966</v>
      </c>
      <c r="B115" s="3"/>
      <c r="C115" s="3">
        <f t="shared" si="3"/>
        <v>2.7310432979606936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</row>
    <row r="116" spans="1:33" x14ac:dyDescent="0.25">
      <c r="A116" s="3">
        <v>18.799999999999965</v>
      </c>
      <c r="B116" s="3"/>
      <c r="C116" s="3">
        <f t="shared" si="3"/>
        <v>2.7310432979606936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</row>
    <row r="117" spans="1:33" x14ac:dyDescent="0.25">
      <c r="A117" s="3">
        <v>18.999999999999964</v>
      </c>
      <c r="B117" s="3"/>
      <c r="C117" s="3">
        <f t="shared" si="3"/>
        <v>2.7310432979606936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</row>
    <row r="118" spans="1:33" x14ac:dyDescent="0.25">
      <c r="A118" s="3">
        <v>19.199999999999964</v>
      </c>
      <c r="B118" s="3"/>
      <c r="C118" s="3">
        <f t="shared" si="3"/>
        <v>2.7310432979606936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</row>
    <row r="119" spans="1:33" x14ac:dyDescent="0.25">
      <c r="A119" s="3">
        <v>19.399999999999963</v>
      </c>
      <c r="B119" s="3"/>
      <c r="C119" s="3">
        <f t="shared" si="3"/>
        <v>2.7310432979606936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</row>
    <row r="120" spans="1:33" x14ac:dyDescent="0.25">
      <c r="A120" s="3">
        <v>19.599999999999962</v>
      </c>
      <c r="B120" s="3"/>
      <c r="C120" s="3">
        <f t="shared" si="3"/>
        <v>2.7310432979606936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</row>
    <row r="121" spans="1:33" x14ac:dyDescent="0.25">
      <c r="A121" s="3">
        <v>19.799999999999962</v>
      </c>
      <c r="B121" s="3"/>
      <c r="C121" s="3">
        <f t="shared" si="3"/>
        <v>2.7310432979606936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</row>
    <row r="122" spans="1:33" x14ac:dyDescent="0.25">
      <c r="A122" s="3">
        <v>19.999999999999961</v>
      </c>
      <c r="B122" s="3"/>
      <c r="C122" s="3">
        <f t="shared" si="3"/>
        <v>2.7310432979606936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</row>
  </sheetData>
  <mergeCells count="1">
    <mergeCell ref="F12:L14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zoomScale="80" zoomScaleNormal="80" workbookViewId="0"/>
  </sheetViews>
  <sheetFormatPr defaultRowHeight="15" x14ac:dyDescent="0.25"/>
  <cols>
    <col min="1" max="1" width="9" style="4" customWidth="1"/>
    <col min="2" max="2" width="9.28515625" style="4" bestFit="1" customWidth="1"/>
    <col min="3" max="3" width="12.28515625" style="4" bestFit="1" customWidth="1"/>
    <col min="4" max="4" width="9.85546875" style="4" bestFit="1" customWidth="1"/>
    <col min="5" max="5" width="10.85546875" style="4" customWidth="1"/>
    <col min="6" max="6" width="16.5703125" style="4" bestFit="1" customWidth="1"/>
    <col min="7" max="16384" width="9.140625" style="4"/>
  </cols>
  <sheetData>
    <row r="1" spans="1:5" x14ac:dyDescent="0.25">
      <c r="A1" s="4" t="s">
        <v>2</v>
      </c>
      <c r="B1" s="4" t="s">
        <v>6</v>
      </c>
      <c r="C1" s="4" t="s">
        <v>40</v>
      </c>
      <c r="D1" s="4" t="s">
        <v>0</v>
      </c>
      <c r="E1" s="4" t="s">
        <v>1</v>
      </c>
    </row>
    <row r="2" spans="1:5" x14ac:dyDescent="0.25">
      <c r="A2" s="4">
        <v>12628</v>
      </c>
      <c r="B2" s="4" t="s">
        <v>3</v>
      </c>
      <c r="C2" s="4" t="s">
        <v>41</v>
      </c>
      <c r="D2" s="3">
        <v>0</v>
      </c>
      <c r="E2" s="6">
        <f>LOG10(7.3*10^5)</f>
        <v>5.8633228601204559</v>
      </c>
    </row>
    <row r="3" spans="1:5" x14ac:dyDescent="0.25">
      <c r="A3" s="4">
        <v>12628</v>
      </c>
      <c r="B3" s="4" t="s">
        <v>3</v>
      </c>
      <c r="C3" s="4" t="s">
        <v>41</v>
      </c>
      <c r="D3" s="3">
        <v>10</v>
      </c>
      <c r="E3" s="6">
        <f>LOG10(8.7*10^4)</f>
        <v>4.9395192526186182</v>
      </c>
    </row>
    <row r="4" spans="1:5" x14ac:dyDescent="0.25">
      <c r="A4" s="4">
        <v>12628</v>
      </c>
      <c r="B4" s="4" t="s">
        <v>3</v>
      </c>
      <c r="C4" s="4" t="s">
        <v>41</v>
      </c>
      <c r="D4" s="3">
        <v>12</v>
      </c>
      <c r="E4" s="6">
        <f>LOG10(3*10^3)</f>
        <v>3.4771212547196626</v>
      </c>
    </row>
    <row r="5" spans="1:5" x14ac:dyDescent="0.25">
      <c r="A5" s="4">
        <v>12628</v>
      </c>
      <c r="B5" s="4" t="s">
        <v>3</v>
      </c>
      <c r="C5" s="4" t="s">
        <v>41</v>
      </c>
      <c r="D5" s="3">
        <v>14</v>
      </c>
      <c r="E5" s="6">
        <f>LOG10(3.35*10^2)</f>
        <v>2.5250448070368452</v>
      </c>
    </row>
    <row r="6" spans="1:5" x14ac:dyDescent="0.25">
      <c r="A6" s="4">
        <v>12628</v>
      </c>
      <c r="B6" s="4" t="s">
        <v>4</v>
      </c>
      <c r="C6" s="4" t="s">
        <v>41</v>
      </c>
      <c r="D6" s="3">
        <v>0</v>
      </c>
      <c r="E6" s="6">
        <f>LOG10(5*10^5)</f>
        <v>5.6989700043360187</v>
      </c>
    </row>
    <row r="7" spans="1:5" x14ac:dyDescent="0.25">
      <c r="A7" s="4">
        <v>12628</v>
      </c>
      <c r="B7" s="4" t="s">
        <v>4</v>
      </c>
      <c r="C7" s="4" t="s">
        <v>41</v>
      </c>
      <c r="D7" s="3">
        <v>10</v>
      </c>
      <c r="E7" s="6">
        <f>LOG10(4*10^4)</f>
        <v>4.6020599913279625</v>
      </c>
    </row>
    <row r="8" spans="1:5" x14ac:dyDescent="0.25">
      <c r="A8" s="4">
        <v>12628</v>
      </c>
      <c r="B8" s="4" t="s">
        <v>4</v>
      </c>
      <c r="C8" s="4" t="s">
        <v>41</v>
      </c>
      <c r="D8" s="3">
        <v>12</v>
      </c>
      <c r="E8" s="6">
        <f>LOG10(2.3*10^2)</f>
        <v>2.3617278360175926</v>
      </c>
    </row>
    <row r="9" spans="1:5" x14ac:dyDescent="0.25">
      <c r="A9" s="4">
        <v>12628</v>
      </c>
      <c r="B9" s="4" t="s">
        <v>4</v>
      </c>
      <c r="C9" s="4" t="s">
        <v>41</v>
      </c>
      <c r="D9" s="3">
        <v>14</v>
      </c>
      <c r="E9" s="6">
        <f>LOG10(0.85*10^2)</f>
        <v>1.9294189257142926</v>
      </c>
    </row>
    <row r="10" spans="1:5" x14ac:dyDescent="0.25">
      <c r="A10" s="4">
        <v>12628</v>
      </c>
      <c r="B10" s="4" t="s">
        <v>4</v>
      </c>
      <c r="C10" s="4" t="s">
        <v>41</v>
      </c>
      <c r="D10" s="3">
        <v>16</v>
      </c>
      <c r="E10" s="6">
        <v>3</v>
      </c>
    </row>
    <row r="11" spans="1:5" x14ac:dyDescent="0.25">
      <c r="A11" s="4">
        <v>12628</v>
      </c>
      <c r="B11" s="4" t="s">
        <v>4</v>
      </c>
      <c r="C11" s="4" t="s">
        <v>41</v>
      </c>
      <c r="D11" s="3">
        <v>18</v>
      </c>
      <c r="E11" s="6">
        <f>LOG10(2.15*10^2)</f>
        <v>2.3324384599156054</v>
      </c>
    </row>
    <row r="12" spans="1:5" x14ac:dyDescent="0.25">
      <c r="A12" s="4">
        <v>12628</v>
      </c>
      <c r="B12" s="4" t="s">
        <v>5</v>
      </c>
      <c r="C12" s="4" t="s">
        <v>41</v>
      </c>
      <c r="D12" s="3">
        <v>0</v>
      </c>
      <c r="E12" s="6">
        <f>LOG10(5.7*10^5)</f>
        <v>5.7558748556724915</v>
      </c>
    </row>
    <row r="13" spans="1:5" x14ac:dyDescent="0.25">
      <c r="A13" s="4">
        <v>12628</v>
      </c>
      <c r="B13" s="4" t="s">
        <v>5</v>
      </c>
      <c r="C13" s="4" t="s">
        <v>41</v>
      </c>
      <c r="D13" s="3">
        <v>10</v>
      </c>
      <c r="E13" s="6">
        <f>LOG10(9.3*10^2)</f>
        <v>2.9684829485539352</v>
      </c>
    </row>
    <row r="14" spans="1:5" x14ac:dyDescent="0.25">
      <c r="A14" s="4">
        <v>12628</v>
      </c>
      <c r="B14" s="4" t="s">
        <v>5</v>
      </c>
      <c r="C14" s="4" t="s">
        <v>41</v>
      </c>
      <c r="D14" s="3">
        <v>12</v>
      </c>
      <c r="E14" s="6">
        <f>LOG10(4.7*10^2)</f>
        <v>2.6720978579357175</v>
      </c>
    </row>
    <row r="15" spans="1:5" x14ac:dyDescent="0.25">
      <c r="A15" s="4">
        <v>12628</v>
      </c>
      <c r="B15" s="4" t="s">
        <v>5</v>
      </c>
      <c r="C15" s="4" t="s">
        <v>41</v>
      </c>
      <c r="D15" s="3">
        <v>14</v>
      </c>
      <c r="E15" s="6">
        <f>LOG10(1.15*10^3)</f>
        <v>3.0606978403536118</v>
      </c>
    </row>
    <row r="16" spans="1:5" x14ac:dyDescent="0.25">
      <c r="A16" s="4">
        <v>12628</v>
      </c>
      <c r="B16" s="4" t="s">
        <v>5</v>
      </c>
      <c r="C16" s="4" t="s">
        <v>41</v>
      </c>
      <c r="D16" s="3">
        <v>16</v>
      </c>
      <c r="E16" s="6">
        <f>LOG10(0.5*10^3)</f>
        <v>2.6989700043360187</v>
      </c>
    </row>
    <row r="17" spans="1:5" x14ac:dyDescent="0.25">
      <c r="A17" s="4">
        <v>12628</v>
      </c>
      <c r="B17" s="4" t="s">
        <v>5</v>
      </c>
      <c r="C17" s="4" t="s">
        <v>41</v>
      </c>
      <c r="D17" s="3">
        <v>18</v>
      </c>
      <c r="E17" s="6">
        <f>LOG10(2*10^3)</f>
        <v>3.3010299956639813</v>
      </c>
    </row>
    <row r="18" spans="1:5" x14ac:dyDescent="0.25">
      <c r="A18" s="4">
        <v>12628</v>
      </c>
      <c r="B18" s="4" t="s">
        <v>5</v>
      </c>
      <c r="C18" s="4" t="s">
        <v>41</v>
      </c>
      <c r="D18" s="3">
        <v>20</v>
      </c>
      <c r="E18" s="6">
        <v>3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24"/>
  <sheetViews>
    <sheetView zoomScale="80" zoomScaleNormal="80" workbookViewId="0"/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2.140625" style="4" bestFit="1" customWidth="1"/>
    <col min="7" max="16384" width="9.140625" style="4"/>
  </cols>
  <sheetData>
    <row r="1" spans="1:35" ht="24" customHeight="1" x14ac:dyDescent="0.25">
      <c r="A1" s="2" t="s">
        <v>0</v>
      </c>
      <c r="B1" s="1" t="s">
        <v>7</v>
      </c>
      <c r="C1" s="1" t="s">
        <v>8</v>
      </c>
      <c r="D1" s="2" t="s">
        <v>9</v>
      </c>
      <c r="E1" s="3"/>
      <c r="F1" s="2" t="s">
        <v>11</v>
      </c>
      <c r="G1" s="2" t="s">
        <v>12</v>
      </c>
      <c r="H1" s="2" t="s">
        <v>20</v>
      </c>
      <c r="I1" s="3"/>
      <c r="J1" s="3"/>
      <c r="K1" s="3"/>
      <c r="L1" s="3"/>
      <c r="M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</row>
    <row r="2" spans="1:35" x14ac:dyDescent="0.25">
      <c r="A2" s="3">
        <v>0</v>
      </c>
      <c r="B2" s="3">
        <v>5.5185139398778871</v>
      </c>
      <c r="C2" s="3">
        <f t="shared" ref="C2:C20" si="0">LOG((10^$G$5-10^$G$2)*10^(-1*((A2/$G$3)^$G$4))+10^$G$2)</f>
        <v>5.6191372755808215</v>
      </c>
      <c r="D2" s="3">
        <f t="shared" ref="D2:D20" si="1" xml:space="preserve"> (B2 - C2)^2</f>
        <v>1.0125055687985447E-2</v>
      </c>
      <c r="E2" s="3"/>
      <c r="F2" s="3" t="s">
        <v>16</v>
      </c>
      <c r="G2" s="6">
        <v>2.2633863139732324</v>
      </c>
      <c r="H2" s="6">
        <v>0.19015409875391623</v>
      </c>
      <c r="I2" s="3"/>
      <c r="J2" s="3"/>
      <c r="K2" s="3"/>
      <c r="L2" s="5" t="s">
        <v>21</v>
      </c>
      <c r="M2" s="6">
        <v>0.24491381517780703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</row>
    <row r="3" spans="1:35" x14ac:dyDescent="0.25">
      <c r="A3" s="3">
        <v>10</v>
      </c>
      <c r="B3" s="3">
        <v>4.9395192526186182</v>
      </c>
      <c r="C3" s="3">
        <f t="shared" si="0"/>
        <v>4.5754563370205812</v>
      </c>
      <c r="D3" s="3">
        <f t="shared" si="1"/>
        <v>0.13254180651374345</v>
      </c>
      <c r="E3" s="3"/>
      <c r="F3" s="3" t="s">
        <v>14</v>
      </c>
      <c r="G3" s="6">
        <v>9.857933058719766</v>
      </c>
      <c r="H3" s="6">
        <v>1.1120169570786107</v>
      </c>
      <c r="I3" s="3"/>
      <c r="J3" s="3"/>
      <c r="K3" s="3"/>
      <c r="L3" s="5" t="s">
        <v>24</v>
      </c>
      <c r="M3" s="6">
        <f>SQRT(M2)</f>
        <v>0.49488767935543415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</row>
    <row r="4" spans="1:35" x14ac:dyDescent="0.25">
      <c r="A4" s="3">
        <v>12</v>
      </c>
      <c r="B4" s="3">
        <v>3.9030899869919438</v>
      </c>
      <c r="C4" s="3">
        <f t="shared" si="0"/>
        <v>3.7863477630769404</v>
      </c>
      <c r="D4" s="3">
        <f t="shared" si="1"/>
        <v>1.3628746844620775E-2</v>
      </c>
      <c r="E4" s="3"/>
      <c r="F4" s="3" t="s">
        <v>15</v>
      </c>
      <c r="G4" s="6">
        <v>3.1171501636151491</v>
      </c>
      <c r="H4" s="6">
        <v>0.98270572959187996</v>
      </c>
      <c r="I4" s="3"/>
      <c r="J4" s="3"/>
      <c r="K4" s="3"/>
      <c r="L4" s="5" t="s">
        <v>22</v>
      </c>
      <c r="M4" s="6">
        <v>0.88892574979095529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</row>
    <row r="5" spans="1:35" x14ac:dyDescent="0.25">
      <c r="A5" s="3">
        <v>14</v>
      </c>
      <c r="B5" s="3">
        <v>2.7781512503836434</v>
      </c>
      <c r="C5" s="3">
        <f t="shared" si="0"/>
        <v>2.7884163705883807</v>
      </c>
      <c r="D5" s="3">
        <f t="shared" si="1"/>
        <v>1.053726928177048E-4</v>
      </c>
      <c r="E5" s="3"/>
      <c r="F5" s="3" t="s">
        <v>13</v>
      </c>
      <c r="G5" s="6">
        <v>5.6191372755808207</v>
      </c>
      <c r="H5" s="6">
        <v>0.28417709803622132</v>
      </c>
      <c r="I5" s="3"/>
      <c r="J5" s="3"/>
      <c r="K5" s="3"/>
      <c r="L5" s="5" t="s">
        <v>23</v>
      </c>
      <c r="M5" s="6">
        <v>0.86671089974914628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</row>
    <row r="6" spans="1:35" x14ac:dyDescent="0.25">
      <c r="A6" s="3">
        <v>0</v>
      </c>
      <c r="B6" s="3">
        <v>5.7558748556724915</v>
      </c>
      <c r="C6" s="3">
        <f t="shared" si="0"/>
        <v>5.6191372755808215</v>
      </c>
      <c r="D6" s="3">
        <f t="shared" si="1"/>
        <v>1.8697165809325844E-2</v>
      </c>
      <c r="E6" s="3"/>
      <c r="F6" s="3"/>
      <c r="G6" s="3"/>
      <c r="H6" s="3"/>
      <c r="I6" s="3"/>
      <c r="J6" s="3"/>
      <c r="K6" s="3"/>
      <c r="L6" s="3"/>
      <c r="M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</row>
    <row r="7" spans="1:35" x14ac:dyDescent="0.25">
      <c r="A7" s="3">
        <v>10</v>
      </c>
      <c r="B7" s="3">
        <v>5.0681858617461613</v>
      </c>
      <c r="C7" s="3">
        <f t="shared" si="0"/>
        <v>4.5754563370205812</v>
      </c>
      <c r="D7" s="3">
        <f t="shared" si="1"/>
        <v>0.24278238453629603</v>
      </c>
      <c r="E7" s="3"/>
      <c r="F7" s="2" t="s">
        <v>25</v>
      </c>
      <c r="G7" s="3"/>
      <c r="H7" s="3"/>
      <c r="I7" s="3"/>
      <c r="J7" s="3"/>
      <c r="K7" s="3"/>
      <c r="L7" s="3"/>
      <c r="M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</row>
    <row r="8" spans="1:35" x14ac:dyDescent="0.25">
      <c r="A8" s="3">
        <v>12</v>
      </c>
      <c r="B8" s="3">
        <v>3.9190780923760737</v>
      </c>
      <c r="C8" s="3">
        <f t="shared" si="0"/>
        <v>3.7863477630769404</v>
      </c>
      <c r="D8" s="3">
        <f t="shared" si="1"/>
        <v>1.7617340315856368E-2</v>
      </c>
      <c r="E8" s="3"/>
      <c r="F8" s="3" t="s">
        <v>34</v>
      </c>
      <c r="G8" s="3"/>
      <c r="H8" s="3"/>
      <c r="I8" s="3"/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</row>
    <row r="9" spans="1:35" x14ac:dyDescent="0.25">
      <c r="A9" s="3">
        <v>14</v>
      </c>
      <c r="B9" s="3">
        <v>2.3979400086720375</v>
      </c>
      <c r="C9" s="3">
        <f t="shared" si="0"/>
        <v>2.7884163705883807</v>
      </c>
      <c r="D9" s="3">
        <f t="shared" si="1"/>
        <v>0.15247178921542301</v>
      </c>
      <c r="E9" s="3"/>
      <c r="F9" s="2" t="s">
        <v>27</v>
      </c>
      <c r="G9" s="3"/>
      <c r="H9" s="3"/>
      <c r="I9" s="3"/>
      <c r="J9" s="3"/>
      <c r="K9" s="3"/>
      <c r="L9" s="3"/>
      <c r="M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</row>
    <row r="10" spans="1:35" x14ac:dyDescent="0.25">
      <c r="A10" s="3">
        <v>18</v>
      </c>
      <c r="B10" s="3">
        <v>1.1760912590556813</v>
      </c>
      <c r="C10" s="3">
        <f t="shared" si="0"/>
        <v>2.2636750448706446</v>
      </c>
      <c r="D10" s="3">
        <f t="shared" si="1"/>
        <v>1.182838491167608</v>
      </c>
      <c r="E10" s="3"/>
      <c r="F10" s="3" t="s">
        <v>35</v>
      </c>
      <c r="G10" s="3"/>
      <c r="H10" s="3"/>
      <c r="I10" s="3"/>
      <c r="J10" s="3"/>
      <c r="K10" s="3"/>
      <c r="L10" s="3"/>
      <c r="M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</row>
    <row r="11" spans="1:35" x14ac:dyDescent="0.25">
      <c r="A11" s="3">
        <v>20</v>
      </c>
      <c r="B11" s="3">
        <v>1.8750612633917001</v>
      </c>
      <c r="C11" s="3">
        <f t="shared" si="0"/>
        <v>2.2633871473892375</v>
      </c>
      <c r="D11" s="3">
        <f t="shared" si="1"/>
        <v>0.15079699218246889</v>
      </c>
      <c r="E11" s="3"/>
      <c r="F11" s="2" t="s">
        <v>29</v>
      </c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</row>
    <row r="12" spans="1:35" x14ac:dyDescent="0.25">
      <c r="A12" s="3">
        <v>22</v>
      </c>
      <c r="B12" s="3">
        <v>2.3324384599156054</v>
      </c>
      <c r="C12" s="3">
        <f t="shared" si="0"/>
        <v>2.2633863145789714</v>
      </c>
      <c r="D12" s="3">
        <f t="shared" si="1"/>
        <v>4.7681987755916182E-3</v>
      </c>
      <c r="E12" s="3"/>
      <c r="F12" s="11" t="s">
        <v>36</v>
      </c>
      <c r="G12" s="12"/>
      <c r="H12" s="12"/>
      <c r="I12" s="12"/>
      <c r="J12" s="12"/>
      <c r="K12" s="12"/>
      <c r="L12" s="12"/>
      <c r="M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</row>
    <row r="13" spans="1:35" x14ac:dyDescent="0.25">
      <c r="A13" s="3">
        <v>0</v>
      </c>
      <c r="B13" s="3">
        <v>5.568201724066995</v>
      </c>
      <c r="C13" s="3">
        <f t="shared" si="0"/>
        <v>5.6191372755808215</v>
      </c>
      <c r="D13" s="3">
        <f t="shared" si="1"/>
        <v>2.5944304080176791E-3</v>
      </c>
      <c r="E13" s="3"/>
      <c r="F13" s="12"/>
      <c r="G13" s="12"/>
      <c r="H13" s="12"/>
      <c r="I13" s="12"/>
      <c r="J13" s="12"/>
      <c r="K13" s="12"/>
      <c r="L13" s="12"/>
      <c r="M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</row>
    <row r="14" spans="1:35" x14ac:dyDescent="0.25">
      <c r="A14" s="3">
        <v>10</v>
      </c>
      <c r="B14" s="3">
        <v>3.7242758696007892</v>
      </c>
      <c r="C14" s="3">
        <f t="shared" si="0"/>
        <v>4.5754563370205812</v>
      </c>
      <c r="D14" s="3">
        <f t="shared" si="1"/>
        <v>0.72450818811697559</v>
      </c>
      <c r="E14" s="3"/>
      <c r="F14" s="12"/>
      <c r="G14" s="12"/>
      <c r="H14" s="12"/>
      <c r="I14" s="12"/>
      <c r="J14" s="12"/>
      <c r="K14" s="12"/>
      <c r="L14" s="12"/>
      <c r="M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</row>
    <row r="15" spans="1:35" x14ac:dyDescent="0.25">
      <c r="A15" s="3">
        <v>12</v>
      </c>
      <c r="B15" s="3">
        <v>3.6334684555795866</v>
      </c>
      <c r="C15" s="3">
        <f t="shared" si="0"/>
        <v>3.7863477630769404</v>
      </c>
      <c r="D15" s="3">
        <f t="shared" si="1"/>
        <v>2.3372082660870454E-2</v>
      </c>
      <c r="E15" s="3"/>
      <c r="F15" s="3"/>
      <c r="G15" s="3"/>
      <c r="H15" s="3"/>
      <c r="I15" s="3"/>
      <c r="J15" s="3"/>
      <c r="K15" s="3"/>
      <c r="L15" s="3"/>
      <c r="M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</row>
    <row r="16" spans="1:35" x14ac:dyDescent="0.25">
      <c r="A16" s="3">
        <v>14</v>
      </c>
      <c r="B16" s="3">
        <v>3</v>
      </c>
      <c r="C16" s="3">
        <f t="shared" si="0"/>
        <v>2.7884163705883807</v>
      </c>
      <c r="D16" s="3">
        <f t="shared" si="1"/>
        <v>4.4767632234993471E-2</v>
      </c>
      <c r="E16" s="3"/>
      <c r="F16" s="3"/>
      <c r="G16" s="3"/>
      <c r="H16" s="3"/>
      <c r="I16" s="3"/>
      <c r="J16" s="3"/>
      <c r="K16" s="3"/>
      <c r="L16" s="3"/>
      <c r="M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</row>
    <row r="17" spans="1:35" x14ac:dyDescent="0.25">
      <c r="A17" s="3">
        <v>16</v>
      </c>
      <c r="B17" s="3">
        <v>3.0606978403536118</v>
      </c>
      <c r="C17" s="3">
        <f t="shared" si="0"/>
        <v>2.2918175601677819</v>
      </c>
      <c r="D17" s="3">
        <f t="shared" si="1"/>
        <v>0.59117688525864021</v>
      </c>
      <c r="E17" s="3"/>
      <c r="F17" s="3"/>
      <c r="G17" s="3"/>
      <c r="H17" s="3"/>
      <c r="I17" s="3"/>
      <c r="J17" s="3"/>
      <c r="K17" s="3"/>
      <c r="L17" s="3"/>
      <c r="M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</row>
    <row r="18" spans="1:35" x14ac:dyDescent="0.25">
      <c r="A18" s="3">
        <v>18</v>
      </c>
      <c r="B18" s="3">
        <v>2.6020599913279625</v>
      </c>
      <c r="C18" s="3">
        <f t="shared" si="0"/>
        <v>2.2636750448706446</v>
      </c>
      <c r="D18" s="3">
        <f t="shared" si="1"/>
        <v>0.11450437198892188</v>
      </c>
      <c r="E18" s="3"/>
      <c r="F18" s="3"/>
      <c r="G18" s="3"/>
      <c r="H18" s="3"/>
      <c r="I18" s="3"/>
      <c r="J18" s="3"/>
      <c r="K18" s="3"/>
      <c r="L18" s="3"/>
      <c r="M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</row>
    <row r="19" spans="1:35" x14ac:dyDescent="0.25">
      <c r="A19" s="3">
        <v>20</v>
      </c>
      <c r="B19" s="3">
        <v>2.7520484478194387</v>
      </c>
      <c r="C19" s="3">
        <f t="shared" si="0"/>
        <v>2.2633871473892375</v>
      </c>
      <c r="D19" s="3">
        <f t="shared" si="1"/>
        <v>0.23878986653813533</v>
      </c>
      <c r="E19" s="3"/>
      <c r="F19" s="3"/>
      <c r="G19" s="3"/>
      <c r="H19" s="3"/>
      <c r="I19" s="3"/>
      <c r="J19" s="3"/>
      <c r="K19" s="3"/>
      <c r="L19" s="3"/>
      <c r="M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</row>
    <row r="20" spans="1:35" x14ac:dyDescent="0.25">
      <c r="A20" s="3">
        <v>22</v>
      </c>
      <c r="B20" s="3">
        <v>2.1760912590556813</v>
      </c>
      <c r="C20" s="3">
        <f t="shared" si="0"/>
        <v>2.2633863145789714</v>
      </c>
      <c r="D20" s="3">
        <f t="shared" si="1"/>
        <v>7.6204267188142993E-3</v>
      </c>
      <c r="E20" s="3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</row>
    <row r="21" spans="1:35" x14ac:dyDescent="0.25">
      <c r="A21" s="2" t="s">
        <v>10</v>
      </c>
      <c r="B21" s="3"/>
      <c r="C21" s="3"/>
      <c r="D21" s="3">
        <f>SUM(D2:D20)</f>
        <v>3.6737072276671054</v>
      </c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</row>
    <row r="22" spans="1:35" x14ac:dyDescent="0.2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</row>
    <row r="23" spans="1:35" x14ac:dyDescent="0.25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</row>
    <row r="24" spans="1:35" x14ac:dyDescent="0.25">
      <c r="A24" s="3">
        <v>0</v>
      </c>
      <c r="B24" s="3"/>
      <c r="C24" s="3">
        <f>LOG((10^$G$5-10^$G$2)*10^(-1*((A24/$G$3)^$G$4))+10^$G$2)</f>
        <v>5.6191372755808215</v>
      </c>
      <c r="D24" s="3"/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</row>
    <row r="25" spans="1:35" x14ac:dyDescent="0.25">
      <c r="A25" s="3">
        <v>0.22</v>
      </c>
      <c r="B25" s="3"/>
      <c r="C25" s="3">
        <f t="shared" ref="C25:C88" si="2">LOG((10^$G$5-10^$G$2)*10^(-1*((A25/$G$3)^$G$4))+10^$G$2)</f>
        <v>5.6191301591620411</v>
      </c>
      <c r="D25" s="3"/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</row>
    <row r="26" spans="1:35" x14ac:dyDescent="0.25">
      <c r="A26" s="3">
        <v>0.44</v>
      </c>
      <c r="B26" s="3"/>
      <c r="C26" s="3">
        <f t="shared" si="2"/>
        <v>5.6190755283926928</v>
      </c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</row>
    <row r="27" spans="1:35" x14ac:dyDescent="0.25">
      <c r="A27" s="3">
        <v>0.66</v>
      </c>
      <c r="B27" s="3"/>
      <c r="C27" s="3">
        <f t="shared" si="2"/>
        <v>5.6189187410612105</v>
      </c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</row>
    <row r="28" spans="1:35" x14ac:dyDescent="0.25">
      <c r="A28" s="3">
        <v>0.88</v>
      </c>
      <c r="B28" s="3"/>
      <c r="C28" s="3">
        <f t="shared" si="2"/>
        <v>5.6186015125028712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</row>
    <row r="29" spans="1:35" x14ac:dyDescent="0.25">
      <c r="A29" s="3">
        <v>1.1000000000000001</v>
      </c>
      <c r="B29" s="3"/>
      <c r="C29" s="3">
        <f t="shared" si="2"/>
        <v>5.6180631483543939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</row>
    <row r="30" spans="1:35" x14ac:dyDescent="0.25">
      <c r="A30" s="3">
        <v>1.32</v>
      </c>
      <c r="B30" s="3"/>
      <c r="C30" s="3">
        <f t="shared" si="2"/>
        <v>5.6172411138491603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</row>
    <row r="31" spans="1:35" x14ac:dyDescent="0.25">
      <c r="A31" s="3">
        <v>1.54</v>
      </c>
      <c r="B31" s="3"/>
      <c r="C31" s="3">
        <f t="shared" si="2"/>
        <v>5.6160713732561147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</row>
    <row r="32" spans="1:35" x14ac:dyDescent="0.25">
      <c r="A32" s="3">
        <v>1.76</v>
      </c>
      <c r="B32" s="3"/>
      <c r="C32" s="3">
        <f t="shared" si="2"/>
        <v>5.614488617857079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</row>
    <row r="33" spans="1:35" x14ac:dyDescent="0.25">
      <c r="A33" s="3">
        <v>1.98</v>
      </c>
      <c r="B33" s="3"/>
      <c r="C33" s="3">
        <f t="shared" si="2"/>
        <v>5.6124264306174831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</row>
    <row r="34" spans="1:35" x14ac:dyDescent="0.25">
      <c r="A34" s="3">
        <v>2.2000000000000002</v>
      </c>
      <c r="B34" s="3"/>
      <c r="C34" s="3">
        <f t="shared" si="2"/>
        <v>5.609817411205575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</row>
    <row r="35" spans="1:35" x14ac:dyDescent="0.25">
      <c r="A35" s="3">
        <v>2.4200000000000004</v>
      </c>
      <c r="B35" s="3"/>
      <c r="C35" s="3">
        <f t="shared" si="2"/>
        <v>5.6065932744414768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</row>
    <row r="36" spans="1:35" x14ac:dyDescent="0.25">
      <c r="A36" s="3">
        <v>2.6400000000000006</v>
      </c>
      <c r="B36" s="3"/>
      <c r="C36" s="3">
        <f t="shared" si="2"/>
        <v>5.6026849300360935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</row>
    <row r="37" spans="1:35" x14ac:dyDescent="0.25">
      <c r="A37" s="3">
        <v>2.8600000000000008</v>
      </c>
      <c r="B37" s="3"/>
      <c r="C37" s="3">
        <f t="shared" si="2"/>
        <v>5.5980225486451634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</row>
    <row r="38" spans="1:35" x14ac:dyDescent="0.25">
      <c r="A38" s="3">
        <v>3.080000000000001</v>
      </c>
      <c r="B38" s="3"/>
      <c r="C38" s="3">
        <f t="shared" si="2"/>
        <v>5.5925356176116194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</row>
    <row r="39" spans="1:35" x14ac:dyDescent="0.25">
      <c r="A39" s="3">
        <v>3.3000000000000012</v>
      </c>
      <c r="B39" s="3"/>
      <c r="C39" s="3">
        <f t="shared" si="2"/>
        <v>5.5861529887520982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</row>
    <row r="40" spans="1:35" x14ac:dyDescent="0.25">
      <c r="A40" s="3">
        <v>3.5200000000000014</v>
      </c>
      <c r="B40" s="3"/>
      <c r="C40" s="3">
        <f t="shared" si="2"/>
        <v>5.5788029198890587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</row>
    <row r="41" spans="1:35" x14ac:dyDescent="0.25">
      <c r="A41" s="3">
        <v>3.7400000000000015</v>
      </c>
      <c r="B41" s="3"/>
      <c r="C41" s="3">
        <f t="shared" si="2"/>
        <v>5.5704131113941129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</row>
    <row r="42" spans="1:35" x14ac:dyDescent="0.25">
      <c r="A42" s="3">
        <v>3.9600000000000017</v>
      </c>
      <c r="B42" s="3"/>
      <c r="C42" s="3">
        <f t="shared" si="2"/>
        <v>5.5609107387098469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</row>
    <row r="43" spans="1:35" x14ac:dyDescent="0.25">
      <c r="A43" s="3">
        <v>4.1800000000000015</v>
      </c>
      <c r="B43" s="3"/>
      <c r="C43" s="3">
        <f t="shared" si="2"/>
        <v>5.5502224816091434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</row>
    <row r="44" spans="1:35" x14ac:dyDescent="0.25">
      <c r="A44" s="3">
        <v>4.4000000000000012</v>
      </c>
      <c r="B44" s="3"/>
      <c r="C44" s="3">
        <f t="shared" si="2"/>
        <v>5.5382745508037994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</row>
    <row r="45" spans="1:35" x14ac:dyDescent="0.25">
      <c r="A45" s="3">
        <v>4.620000000000001</v>
      </c>
      <c r="B45" s="3"/>
      <c r="C45" s="3">
        <f t="shared" si="2"/>
        <v>5.524992712410242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x14ac:dyDescent="0.25">
      <c r="A46" s="3">
        <v>4.8400000000000007</v>
      </c>
      <c r="B46" s="3"/>
      <c r="C46" s="3">
        <f t="shared" si="2"/>
        <v>5.5103023107077922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</row>
    <row r="47" spans="1:35" x14ac:dyDescent="0.25">
      <c r="A47" s="3">
        <v>5.0600000000000005</v>
      </c>
      <c r="B47" s="3"/>
      <c r="C47" s="3">
        <f t="shared" si="2"/>
        <v>5.4941282895771906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</row>
    <row r="48" spans="1:35" x14ac:dyDescent="0.25">
      <c r="A48" s="3">
        <v>5.28</v>
      </c>
      <c r="B48" s="3"/>
      <c r="C48" s="3">
        <f t="shared" si="2"/>
        <v>5.4763952129794937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</row>
    <row r="49" spans="1:35" x14ac:dyDescent="0.25">
      <c r="A49" s="3">
        <v>5.5</v>
      </c>
      <c r="B49" s="3"/>
      <c r="C49" s="3">
        <f t="shared" si="2"/>
        <v>5.4570272848257906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</row>
    <row r="50" spans="1:35" x14ac:dyDescent="0.25">
      <c r="A50" s="3">
        <v>5.72</v>
      </c>
      <c r="B50" s="3"/>
      <c r="C50" s="3">
        <f t="shared" si="2"/>
        <v>5.435948368595672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</row>
    <row r="51" spans="1:35" x14ac:dyDescent="0.25">
      <c r="A51" s="3">
        <v>5.9399999999999995</v>
      </c>
      <c r="B51" s="3"/>
      <c r="C51" s="3">
        <f t="shared" si="2"/>
        <v>5.4130820070878407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</row>
    <row r="52" spans="1:35" x14ac:dyDescent="0.25">
      <c r="A52" s="3">
        <v>6.1599999999999993</v>
      </c>
      <c r="B52" s="3"/>
      <c r="C52" s="3">
        <f t="shared" si="2"/>
        <v>5.3883514427317492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</row>
    <row r="53" spans="1:35" x14ac:dyDescent="0.25">
      <c r="A53" s="3">
        <v>6.379999999999999</v>
      </c>
      <c r="B53" s="3"/>
      <c r="C53" s="3">
        <f t="shared" si="2"/>
        <v>5.3616796389585737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</row>
    <row r="54" spans="1:35" x14ac:dyDescent="0.25">
      <c r="A54" s="3">
        <v>6.5999999999999988</v>
      </c>
      <c r="B54" s="3"/>
      <c r="C54" s="3">
        <f t="shared" si="2"/>
        <v>5.3329893032287332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</row>
    <row r="55" spans="1:35" x14ac:dyDescent="0.25">
      <c r="A55" s="3">
        <v>6.8199999999999985</v>
      </c>
      <c r="B55" s="3"/>
      <c r="C55" s="3">
        <f t="shared" si="2"/>
        <v>5.3022029124497863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</row>
    <row r="56" spans="1:35" x14ac:dyDescent="0.25">
      <c r="A56" s="3">
        <v>7.0399999999999983</v>
      </c>
      <c r="B56" s="3"/>
      <c r="C56" s="3">
        <f t="shared" si="2"/>
        <v>5.2692427417042413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</row>
    <row r="57" spans="1:35" x14ac:dyDescent="0.25">
      <c r="A57" s="3">
        <v>7.259999999999998</v>
      </c>
      <c r="B57" s="3"/>
      <c r="C57" s="3">
        <f t="shared" si="2"/>
        <v>5.2340308974574423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</row>
    <row r="58" spans="1:35" x14ac:dyDescent="0.25">
      <c r="A58" s="3">
        <v>7.4799999999999978</v>
      </c>
      <c r="B58" s="3"/>
      <c r="C58" s="3">
        <f t="shared" si="2"/>
        <v>5.1964893567529415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</row>
    <row r="59" spans="1:35" x14ac:dyDescent="0.25">
      <c r="A59" s="3">
        <v>7.6999999999999975</v>
      </c>
      <c r="B59" s="3"/>
      <c r="C59" s="3">
        <f t="shared" si="2"/>
        <v>5.156540014356966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</row>
    <row r="60" spans="1:35" x14ac:dyDescent="0.25">
      <c r="A60" s="3">
        <v>7.9199999999999973</v>
      </c>
      <c r="B60" s="3"/>
      <c r="C60" s="3">
        <f t="shared" si="2"/>
        <v>5.1141047404261828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</row>
    <row r="61" spans="1:35" x14ac:dyDescent="0.25">
      <c r="A61" s="3">
        <v>8.139999999999997</v>
      </c>
      <c r="B61" s="3"/>
      <c r="C61" s="3">
        <f t="shared" si="2"/>
        <v>5.0691054521021073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</row>
    <row r="62" spans="1:35" x14ac:dyDescent="0.25">
      <c r="A62" s="3">
        <v>8.3599999999999977</v>
      </c>
      <c r="B62" s="3"/>
      <c r="C62" s="3">
        <f t="shared" si="2"/>
        <v>5.0214642035616883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</row>
    <row r="63" spans="1:35" x14ac:dyDescent="0.25">
      <c r="A63" s="3">
        <v>8.5799999999999983</v>
      </c>
      <c r="B63" s="3"/>
      <c r="C63" s="3">
        <f t="shared" si="2"/>
        <v>4.9711033005898662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</row>
    <row r="64" spans="1:35" x14ac:dyDescent="0.25">
      <c r="A64" s="3">
        <v>8.7999999999999989</v>
      </c>
      <c r="B64" s="3"/>
      <c r="C64" s="3">
        <f t="shared" si="2"/>
        <v>4.9179454478447342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</row>
    <row r="65" spans="1:35" x14ac:dyDescent="0.25">
      <c r="A65" s="3">
        <v>9.02</v>
      </c>
      <c r="B65" s="3"/>
      <c r="C65" s="3">
        <f t="shared" si="2"/>
        <v>4.8619139398830686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</row>
    <row r="66" spans="1:35" x14ac:dyDescent="0.25">
      <c r="A66" s="3">
        <v>9.24</v>
      </c>
      <c r="B66" s="3"/>
      <c r="C66" s="3">
        <f t="shared" si="2"/>
        <v>4.8029329110196528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</row>
    <row r="67" spans="1:35" x14ac:dyDescent="0.25">
      <c r="A67" s="3">
        <v>9.4600000000000009</v>
      </c>
      <c r="B67" s="3"/>
      <c r="C67" s="3">
        <f t="shared" si="2"/>
        <v>4.7409276646572742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</row>
    <row r="68" spans="1:35" x14ac:dyDescent="0.25">
      <c r="A68" s="3">
        <v>9.6800000000000015</v>
      </c>
      <c r="B68" s="3"/>
      <c r="C68" s="3">
        <f t="shared" si="2"/>
        <v>4.6758251104842579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</row>
    <row r="69" spans="1:35" x14ac:dyDescent="0.25">
      <c r="A69" s="3">
        <v>9.9000000000000021</v>
      </c>
      <c r="B69" s="3"/>
      <c r="C69" s="3">
        <f t="shared" si="2"/>
        <v>4.6075543488032604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</row>
    <row r="70" spans="1:35" x14ac:dyDescent="0.25">
      <c r="A70" s="3">
        <v>10.120000000000003</v>
      </c>
      <c r="B70" s="3"/>
      <c r="C70" s="3">
        <f t="shared" si="2"/>
        <v>4.5360474565256457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</row>
    <row r="71" spans="1:35" x14ac:dyDescent="0.25">
      <c r="A71" s="3">
        <v>10.340000000000003</v>
      </c>
      <c r="B71" s="3"/>
      <c r="C71" s="3">
        <f t="shared" si="2"/>
        <v>4.4612405508845807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</row>
    <row r="72" spans="1:35" x14ac:dyDescent="0.25">
      <c r="A72" s="3">
        <v>10.560000000000004</v>
      </c>
      <c r="B72" s="3"/>
      <c r="C72" s="3">
        <f t="shared" si="2"/>
        <v>4.3830752372974864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</row>
    <row r="73" spans="1:35" x14ac:dyDescent="0.25">
      <c r="A73" s="3">
        <v>10.780000000000005</v>
      </c>
      <c r="B73" s="3"/>
      <c r="C73" s="3">
        <f t="shared" si="2"/>
        <v>4.3015005907065795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</row>
    <row r="74" spans="1:35" x14ac:dyDescent="0.25">
      <c r="A74" s="3">
        <v>11.000000000000005</v>
      </c>
      <c r="B74" s="3"/>
      <c r="C74" s="3">
        <f t="shared" si="2"/>
        <v>4.2164758802019069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</row>
    <row r="75" spans="1:35" x14ac:dyDescent="0.25">
      <c r="A75" s="3">
        <v>11.220000000000006</v>
      </c>
      <c r="B75" s="3"/>
      <c r="C75" s="3">
        <f t="shared" si="2"/>
        <v>4.1279743315849622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</row>
    <row r="76" spans="1:35" x14ac:dyDescent="0.25">
      <c r="A76" s="3">
        <v>11.440000000000007</v>
      </c>
      <c r="B76" s="3"/>
      <c r="C76" s="3">
        <f t="shared" si="2"/>
        <v>4.03598834049507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</row>
    <row r="77" spans="1:35" x14ac:dyDescent="0.25">
      <c r="A77" s="3">
        <v>11.660000000000007</v>
      </c>
      <c r="B77" s="3"/>
      <c r="C77" s="3">
        <f t="shared" si="2"/>
        <v>3.9405367100723123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</row>
    <row r="78" spans="1:35" x14ac:dyDescent="0.25">
      <c r="A78" s="3">
        <v>11.880000000000008</v>
      </c>
      <c r="B78" s="3"/>
      <c r="C78" s="3">
        <f t="shared" si="2"/>
        <v>3.8416747017892603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</row>
    <row r="79" spans="1:35" x14ac:dyDescent="0.25">
      <c r="A79" s="3">
        <v>12.100000000000009</v>
      </c>
      <c r="B79" s="3"/>
      <c r="C79" s="3">
        <f t="shared" si="2"/>
        <v>3.7395079602020269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</row>
    <row r="80" spans="1:35" x14ac:dyDescent="0.25">
      <c r="A80" s="3">
        <v>12.320000000000009</v>
      </c>
      <c r="B80" s="3"/>
      <c r="C80" s="3">
        <f t="shared" si="2"/>
        <v>3.6342116874861579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</row>
    <row r="81" spans="1:35" x14ac:dyDescent="0.25">
      <c r="A81" s="3">
        <v>12.54000000000001</v>
      </c>
      <c r="B81" s="3"/>
      <c r="C81" s="3">
        <f t="shared" si="2"/>
        <v>3.5260567412265997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</row>
    <row r="82" spans="1:35" x14ac:dyDescent="0.25">
      <c r="A82" s="3">
        <v>12.76000000000001</v>
      </c>
      <c r="B82" s="3"/>
      <c r="C82" s="3">
        <f t="shared" si="2"/>
        <v>3.4154444492138754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</row>
    <row r="83" spans="1:35" x14ac:dyDescent="0.25">
      <c r="A83" s="3">
        <v>12.980000000000011</v>
      </c>
      <c r="B83" s="3"/>
      <c r="C83" s="3">
        <f t="shared" si="2"/>
        <v>3.3029515269941938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</row>
    <row r="84" spans="1:35" x14ac:dyDescent="0.25">
      <c r="A84" s="3">
        <v>13.200000000000012</v>
      </c>
      <c r="B84" s="3"/>
      <c r="C84" s="3">
        <f t="shared" si="2"/>
        <v>3.1893848761974812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</row>
    <row r="85" spans="1:35" x14ac:dyDescent="0.25">
      <c r="A85" s="3">
        <v>13.420000000000012</v>
      </c>
      <c r="B85" s="3"/>
      <c r="C85" s="3">
        <f t="shared" si="2"/>
        <v>3.075842139997393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</row>
    <row r="86" spans="1:35" x14ac:dyDescent="0.25">
      <c r="A86" s="3">
        <v>13.640000000000013</v>
      </c>
      <c r="B86" s="3"/>
      <c r="C86" s="3">
        <f t="shared" si="2"/>
        <v>2.9637663429384529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</row>
    <row r="87" spans="1:35" x14ac:dyDescent="0.25">
      <c r="A87" s="3">
        <v>13.860000000000014</v>
      </c>
      <c r="B87" s="3"/>
      <c r="C87" s="3">
        <f t="shared" si="2"/>
        <v>2.8549711196854686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</row>
    <row r="88" spans="1:35" x14ac:dyDescent="0.25">
      <c r="A88" s="3">
        <v>14.080000000000014</v>
      </c>
      <c r="B88" s="3"/>
      <c r="C88" s="3">
        <f t="shared" si="2"/>
        <v>2.7515995999973888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</row>
    <row r="89" spans="1:35" x14ac:dyDescent="0.25">
      <c r="A89" s="3">
        <v>14.300000000000015</v>
      </c>
      <c r="B89" s="3"/>
      <c r="C89" s="3">
        <f t="shared" ref="C89:C124" si="3">LOG((10^$G$5-10^$G$2)*10^(-1*((A89/$G$3)^$G$4))+10^$G$2)</f>
        <v>2.6559747060674255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</row>
    <row r="90" spans="1:35" x14ac:dyDescent="0.25">
      <c r="A90" s="3">
        <v>14.520000000000016</v>
      </c>
      <c r="B90" s="3"/>
      <c r="C90" s="3">
        <f t="shared" si="3"/>
        <v>2.570318822056584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</row>
    <row r="91" spans="1:35" x14ac:dyDescent="0.25">
      <c r="A91" s="3">
        <v>14.740000000000016</v>
      </c>
      <c r="B91" s="3"/>
      <c r="C91" s="3">
        <f t="shared" si="3"/>
        <v>2.4963793004873622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</row>
    <row r="92" spans="1:35" x14ac:dyDescent="0.25">
      <c r="A92" s="3">
        <v>14.960000000000017</v>
      </c>
      <c r="B92" s="3"/>
      <c r="C92" s="3">
        <f t="shared" si="3"/>
        <v>2.4350742923684643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</row>
    <row r="93" spans="1:35" x14ac:dyDescent="0.25">
      <c r="A93" s="3">
        <v>15.180000000000017</v>
      </c>
      <c r="B93" s="3"/>
      <c r="C93" s="3">
        <f t="shared" si="3"/>
        <v>2.3863093498412469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</row>
    <row r="94" spans="1:35" x14ac:dyDescent="0.25">
      <c r="A94" s="3">
        <v>15.400000000000018</v>
      </c>
      <c r="B94" s="3"/>
      <c r="C94" s="3">
        <f t="shared" si="3"/>
        <v>2.3490540124341068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</row>
    <row r="95" spans="1:35" x14ac:dyDescent="0.25">
      <c r="A95" s="3">
        <v>15.620000000000019</v>
      </c>
      <c r="B95" s="3"/>
      <c r="C95" s="3">
        <f t="shared" si="3"/>
        <v>2.3216375082940544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</row>
    <row r="96" spans="1:35" x14ac:dyDescent="0.25">
      <c r="A96" s="3">
        <v>15.840000000000019</v>
      </c>
      <c r="B96" s="3"/>
      <c r="C96" s="3">
        <f t="shared" si="3"/>
        <v>2.3021251878104114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</row>
    <row r="97" spans="1:35" x14ac:dyDescent="0.25">
      <c r="A97" s="3">
        <v>16.06000000000002</v>
      </c>
      <c r="B97" s="3"/>
      <c r="C97" s="3">
        <f t="shared" si="3"/>
        <v>2.2886382414386928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</row>
    <row r="98" spans="1:35" x14ac:dyDescent="0.25">
      <c r="A98" s="3">
        <v>16.280000000000019</v>
      </c>
      <c r="B98" s="3"/>
      <c r="C98" s="3">
        <f t="shared" si="3"/>
        <v>2.2795494791399871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</row>
    <row r="99" spans="1:35" x14ac:dyDescent="0.25">
      <c r="A99" s="3">
        <v>16.500000000000018</v>
      </c>
      <c r="B99" s="3"/>
      <c r="C99" s="3">
        <f t="shared" si="3"/>
        <v>2.2735589028079457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</row>
    <row r="100" spans="1:35" x14ac:dyDescent="0.25">
      <c r="A100" s="3">
        <v>16.720000000000017</v>
      </c>
      <c r="B100" s="3"/>
      <c r="C100" s="3">
        <f t="shared" si="3"/>
        <v>2.2696875282628768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</row>
    <row r="101" spans="1:35" x14ac:dyDescent="0.25">
      <c r="A101" s="3">
        <v>16.940000000000015</v>
      </c>
      <c r="B101" s="3"/>
      <c r="C101" s="3">
        <f t="shared" si="3"/>
        <v>2.2672302435286946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</row>
    <row r="102" spans="1:35" x14ac:dyDescent="0.25">
      <c r="A102" s="3">
        <v>17.160000000000014</v>
      </c>
      <c r="B102" s="3"/>
      <c r="C102" s="3">
        <f t="shared" si="3"/>
        <v>2.2656964910897606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</row>
    <row r="103" spans="1:35" x14ac:dyDescent="0.25">
      <c r="A103" s="3">
        <v>17.380000000000013</v>
      </c>
      <c r="B103" s="3"/>
      <c r="C103" s="3">
        <f t="shared" si="3"/>
        <v>2.2647543996369692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</row>
    <row r="104" spans="1:35" x14ac:dyDescent="0.25">
      <c r="A104" s="3">
        <v>17.600000000000012</v>
      </c>
      <c r="B104" s="3"/>
      <c r="C104" s="3">
        <f t="shared" si="3"/>
        <v>2.2641846798324248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</row>
    <row r="105" spans="1:35" x14ac:dyDescent="0.25">
      <c r="A105" s="3">
        <v>17.820000000000011</v>
      </c>
      <c r="B105" s="3"/>
      <c r="C105" s="3">
        <f t="shared" si="3"/>
        <v>2.2638454006978517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</row>
    <row r="106" spans="1:35" x14ac:dyDescent="0.25">
      <c r="A106" s="3">
        <v>18.04000000000001</v>
      </c>
      <c r="B106" s="3"/>
      <c r="C106" s="3">
        <f t="shared" si="3"/>
        <v>2.2636464191396644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</row>
    <row r="107" spans="1:35" x14ac:dyDescent="0.25">
      <c r="A107" s="3">
        <v>18.260000000000009</v>
      </c>
      <c r="B107" s="3"/>
      <c r="C107" s="3">
        <f t="shared" si="3"/>
        <v>2.2635314933516821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</row>
    <row r="108" spans="1:35" x14ac:dyDescent="0.25">
      <c r="A108" s="3">
        <v>18.480000000000008</v>
      </c>
      <c r="B108" s="3"/>
      <c r="C108" s="3">
        <f t="shared" si="3"/>
        <v>2.263466130316806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</row>
    <row r="109" spans="1:35" x14ac:dyDescent="0.25">
      <c r="A109" s="3">
        <v>18.700000000000006</v>
      </c>
      <c r="B109" s="3"/>
      <c r="C109" s="3">
        <f t="shared" si="3"/>
        <v>2.2634295287151622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</row>
    <row r="110" spans="1:35" x14ac:dyDescent="0.25">
      <c r="A110" s="3">
        <v>18.920000000000005</v>
      </c>
      <c r="B110" s="3"/>
      <c r="C110" s="3">
        <f t="shared" si="3"/>
        <v>2.2634093518854401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</row>
    <row r="111" spans="1:35" x14ac:dyDescent="0.25">
      <c r="A111" s="3">
        <v>19.140000000000004</v>
      </c>
      <c r="B111" s="3"/>
      <c r="C111" s="3">
        <f t="shared" si="3"/>
        <v>2.2633984043719133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</row>
    <row r="112" spans="1:35" x14ac:dyDescent="0.25">
      <c r="A112" s="3">
        <v>19.360000000000003</v>
      </c>
      <c r="B112" s="3"/>
      <c r="C112" s="3">
        <f t="shared" si="3"/>
        <v>2.2633925590529422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</row>
    <row r="113" spans="1:35" x14ac:dyDescent="0.25">
      <c r="A113" s="3">
        <v>19.580000000000002</v>
      </c>
      <c r="B113" s="3"/>
      <c r="C113" s="3">
        <f t="shared" si="3"/>
        <v>2.2633894882715939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</row>
    <row r="114" spans="1:35" x14ac:dyDescent="0.25">
      <c r="A114" s="3">
        <v>19.8</v>
      </c>
      <c r="B114" s="3"/>
      <c r="C114" s="3">
        <f t="shared" si="3"/>
        <v>2.2633879013564937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</row>
    <row r="115" spans="1:35" x14ac:dyDescent="0.25">
      <c r="A115" s="3">
        <v>20.02</v>
      </c>
      <c r="B115" s="3"/>
      <c r="C115" s="3">
        <f t="shared" si="3"/>
        <v>2.2633870947944885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</row>
    <row r="116" spans="1:35" x14ac:dyDescent="0.25">
      <c r="A116" s="3">
        <v>20.239999999999998</v>
      </c>
      <c r="B116" s="3"/>
      <c r="C116" s="3">
        <f t="shared" si="3"/>
        <v>2.2633866916918972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</row>
    <row r="117" spans="1:35" x14ac:dyDescent="0.25">
      <c r="A117" s="3">
        <v>20.459999999999997</v>
      </c>
      <c r="B117" s="3"/>
      <c r="C117" s="3">
        <f t="shared" si="3"/>
        <v>2.2633864936298655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</row>
    <row r="118" spans="1:35" x14ac:dyDescent="0.25">
      <c r="A118" s="3">
        <v>20.679999999999996</v>
      </c>
      <c r="B118" s="3"/>
      <c r="C118" s="3">
        <f t="shared" si="3"/>
        <v>2.2633863979747053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</row>
    <row r="119" spans="1:35" x14ac:dyDescent="0.25">
      <c r="A119" s="3">
        <v>20.899999999999995</v>
      </c>
      <c r="B119" s="3"/>
      <c r="C119" s="3">
        <f t="shared" si="3"/>
        <v>2.2633863525752571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</row>
    <row r="120" spans="1:35" x14ac:dyDescent="0.25">
      <c r="A120" s="3">
        <v>21.119999999999994</v>
      </c>
      <c r="B120" s="3"/>
      <c r="C120" s="3">
        <f t="shared" si="3"/>
        <v>2.2633863314042761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</row>
    <row r="121" spans="1:35" x14ac:dyDescent="0.25">
      <c r="A121" s="3">
        <v>21.339999999999993</v>
      </c>
      <c r="B121" s="3"/>
      <c r="C121" s="3">
        <f t="shared" si="3"/>
        <v>2.2633863217060415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</row>
    <row r="122" spans="1:35" x14ac:dyDescent="0.25">
      <c r="A122" s="3">
        <v>21.559999999999992</v>
      </c>
      <c r="B122" s="3"/>
      <c r="C122" s="3">
        <f t="shared" si="3"/>
        <v>2.2633863173427065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</row>
    <row r="123" spans="1:35" x14ac:dyDescent="0.25">
      <c r="A123" s="3">
        <v>21.77999999999999</v>
      </c>
      <c r="B123" s="3"/>
      <c r="C123" s="3">
        <f t="shared" si="3"/>
        <v>2.2633863154150426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</row>
    <row r="124" spans="1:35" x14ac:dyDescent="0.25">
      <c r="A124" s="3">
        <v>21.999999999999989</v>
      </c>
      <c r="B124" s="3"/>
      <c r="C124" s="3">
        <f t="shared" si="3"/>
        <v>2.2633863145789714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</row>
  </sheetData>
  <mergeCells count="1">
    <mergeCell ref="F12:L14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zoomScale="80" zoomScaleNormal="80" workbookViewId="0"/>
  </sheetViews>
  <sheetFormatPr defaultRowHeight="15" x14ac:dyDescent="0.25"/>
  <cols>
    <col min="1" max="2" width="9.140625" style="4"/>
    <col min="3" max="3" width="12.28515625" style="4" bestFit="1" customWidth="1"/>
    <col min="4" max="4" width="9.85546875" style="4" bestFit="1" customWidth="1"/>
    <col min="5" max="16384" width="9.140625" style="4"/>
  </cols>
  <sheetData>
    <row r="1" spans="1:5" x14ac:dyDescent="0.25">
      <c r="A1" s="4" t="s">
        <v>2</v>
      </c>
      <c r="B1" s="4" t="s">
        <v>6</v>
      </c>
      <c r="C1" s="4" t="s">
        <v>40</v>
      </c>
      <c r="D1" s="4" t="s">
        <v>0</v>
      </c>
      <c r="E1" s="4" t="s">
        <v>1</v>
      </c>
    </row>
    <row r="2" spans="1:5" x14ac:dyDescent="0.25">
      <c r="A2" s="4">
        <v>12662</v>
      </c>
      <c r="B2" s="4" t="s">
        <v>3</v>
      </c>
      <c r="C2" s="4" t="s">
        <v>41</v>
      </c>
      <c r="D2" s="3">
        <v>0</v>
      </c>
      <c r="E2" s="6">
        <f>LOG10(3.3*10^5)</f>
        <v>5.5185139398778871</v>
      </c>
    </row>
    <row r="3" spans="1:5" x14ac:dyDescent="0.25">
      <c r="A3" s="4">
        <v>12662</v>
      </c>
      <c r="B3" s="4" t="s">
        <v>3</v>
      </c>
      <c r="C3" s="4" t="s">
        <v>41</v>
      </c>
      <c r="D3" s="3">
        <v>10</v>
      </c>
      <c r="E3" s="6">
        <f>LOG10(8.7*10^4)</f>
        <v>4.9395192526186182</v>
      </c>
    </row>
    <row r="4" spans="1:5" x14ac:dyDescent="0.25">
      <c r="A4" s="4">
        <v>12662</v>
      </c>
      <c r="B4" s="4" t="s">
        <v>3</v>
      </c>
      <c r="C4" s="4" t="s">
        <v>41</v>
      </c>
      <c r="D4" s="3">
        <v>12</v>
      </c>
      <c r="E4" s="6">
        <f>LOG10(8*10^3)</f>
        <v>3.9030899869919438</v>
      </c>
    </row>
    <row r="5" spans="1:5" x14ac:dyDescent="0.25">
      <c r="A5" s="4">
        <v>12662</v>
      </c>
      <c r="B5" s="4" t="s">
        <v>3</v>
      </c>
      <c r="C5" s="4" t="s">
        <v>41</v>
      </c>
      <c r="D5" s="3">
        <v>14</v>
      </c>
      <c r="E5" s="6">
        <f>LOG10(6*10^2)</f>
        <v>2.7781512503836434</v>
      </c>
    </row>
    <row r="6" spans="1:5" x14ac:dyDescent="0.25">
      <c r="A6" s="4">
        <v>12662</v>
      </c>
      <c r="B6" s="4" t="s">
        <v>4</v>
      </c>
      <c r="C6" s="4" t="s">
        <v>41</v>
      </c>
      <c r="D6" s="3">
        <v>0</v>
      </c>
      <c r="E6" s="6">
        <f>LOG10(5.7*10^5)</f>
        <v>5.7558748556724915</v>
      </c>
    </row>
    <row r="7" spans="1:5" x14ac:dyDescent="0.25">
      <c r="A7" s="4">
        <v>12662</v>
      </c>
      <c r="B7" s="4" t="s">
        <v>4</v>
      </c>
      <c r="C7" s="4" t="s">
        <v>41</v>
      </c>
      <c r="D7" s="3">
        <v>10</v>
      </c>
      <c r="E7" s="6">
        <f>LOG10(1.17*10^5)</f>
        <v>5.0681858617461613</v>
      </c>
    </row>
    <row r="8" spans="1:5" x14ac:dyDescent="0.25">
      <c r="A8" s="4">
        <v>12662</v>
      </c>
      <c r="B8" s="4" t="s">
        <v>4</v>
      </c>
      <c r="C8" s="4" t="s">
        <v>41</v>
      </c>
      <c r="D8" s="3">
        <v>12</v>
      </c>
      <c r="E8" s="6">
        <f>LOG10(8.3*10^3)</f>
        <v>3.9190780923760737</v>
      </c>
    </row>
    <row r="9" spans="1:5" x14ac:dyDescent="0.25">
      <c r="A9" s="4">
        <v>12662</v>
      </c>
      <c r="B9" s="4" t="s">
        <v>4</v>
      </c>
      <c r="C9" s="4" t="s">
        <v>41</v>
      </c>
      <c r="D9" s="3">
        <v>14</v>
      </c>
      <c r="E9" s="6">
        <f>LOG10(2.5*10^2)</f>
        <v>2.3979400086720375</v>
      </c>
    </row>
    <row r="10" spans="1:5" x14ac:dyDescent="0.25">
      <c r="A10" s="4">
        <v>12662</v>
      </c>
      <c r="B10" s="4" t="s">
        <v>4</v>
      </c>
      <c r="C10" s="4" t="s">
        <v>41</v>
      </c>
      <c r="D10" s="3">
        <v>18</v>
      </c>
      <c r="E10" s="6">
        <f>LOG10(0.15*10^2)</f>
        <v>1.1760912590556813</v>
      </c>
    </row>
    <row r="11" spans="1:5" x14ac:dyDescent="0.25">
      <c r="A11" s="4">
        <v>12662</v>
      </c>
      <c r="B11" s="4" t="s">
        <v>4</v>
      </c>
      <c r="C11" s="4" t="s">
        <v>41</v>
      </c>
      <c r="D11" s="3">
        <v>20</v>
      </c>
      <c r="E11" s="6">
        <f>LOG10(0.75*10^2)</f>
        <v>1.8750612633917001</v>
      </c>
    </row>
    <row r="12" spans="1:5" x14ac:dyDescent="0.25">
      <c r="A12" s="4">
        <v>12662</v>
      </c>
      <c r="B12" s="4" t="s">
        <v>4</v>
      </c>
      <c r="C12" s="4" t="s">
        <v>41</v>
      </c>
      <c r="D12" s="3">
        <v>22</v>
      </c>
      <c r="E12" s="6">
        <f>LOG10(2.15*10^2)</f>
        <v>2.3324384599156054</v>
      </c>
    </row>
    <row r="13" spans="1:5" x14ac:dyDescent="0.25">
      <c r="A13" s="4">
        <v>12662</v>
      </c>
      <c r="B13" s="4" t="s">
        <v>5</v>
      </c>
      <c r="C13" s="4" t="s">
        <v>41</v>
      </c>
      <c r="D13" s="3">
        <v>0</v>
      </c>
      <c r="E13" s="6">
        <f>LOG10(3.7*10^5)</f>
        <v>5.568201724066995</v>
      </c>
    </row>
    <row r="14" spans="1:5" x14ac:dyDescent="0.25">
      <c r="A14" s="4">
        <v>12662</v>
      </c>
      <c r="B14" s="4" t="s">
        <v>5</v>
      </c>
      <c r="C14" s="4" t="s">
        <v>41</v>
      </c>
      <c r="D14" s="3">
        <v>10</v>
      </c>
      <c r="E14" s="6">
        <f>LOG10(5.3*10^3)</f>
        <v>3.7242758696007892</v>
      </c>
    </row>
    <row r="15" spans="1:5" x14ac:dyDescent="0.25">
      <c r="A15" s="4">
        <v>12662</v>
      </c>
      <c r="B15" s="4" t="s">
        <v>5</v>
      </c>
      <c r="C15" s="4" t="s">
        <v>41</v>
      </c>
      <c r="D15" s="3">
        <v>12</v>
      </c>
      <c r="E15" s="6">
        <f>LOG10(4.3*10^3)</f>
        <v>3.6334684555795866</v>
      </c>
    </row>
    <row r="16" spans="1:5" x14ac:dyDescent="0.25">
      <c r="A16" s="4">
        <v>12662</v>
      </c>
      <c r="B16" s="4" t="s">
        <v>5</v>
      </c>
      <c r="C16" s="4" t="s">
        <v>41</v>
      </c>
      <c r="D16" s="3">
        <v>14</v>
      </c>
      <c r="E16" s="6">
        <v>3</v>
      </c>
    </row>
    <row r="17" spans="1:5" x14ac:dyDescent="0.25">
      <c r="A17" s="4">
        <v>12662</v>
      </c>
      <c r="B17" s="4" t="s">
        <v>5</v>
      </c>
      <c r="C17" s="4" t="s">
        <v>41</v>
      </c>
      <c r="D17" s="3">
        <v>16</v>
      </c>
      <c r="E17" s="6">
        <f>LOG10(1.15*10^3)</f>
        <v>3.0606978403536118</v>
      </c>
    </row>
    <row r="18" spans="1:5" x14ac:dyDescent="0.25">
      <c r="A18" s="4">
        <v>12662</v>
      </c>
      <c r="B18" s="4" t="s">
        <v>5</v>
      </c>
      <c r="C18" s="4" t="s">
        <v>41</v>
      </c>
      <c r="D18" s="3">
        <v>18</v>
      </c>
      <c r="E18" s="6">
        <f>LOG10(4*10^2)</f>
        <v>2.6020599913279625</v>
      </c>
    </row>
    <row r="19" spans="1:5" x14ac:dyDescent="0.25">
      <c r="A19" s="4">
        <v>12662</v>
      </c>
      <c r="B19" s="4" t="s">
        <v>5</v>
      </c>
      <c r="C19" s="4" t="s">
        <v>41</v>
      </c>
      <c r="D19" s="3">
        <v>20</v>
      </c>
      <c r="E19" s="6">
        <f>LOG10(5.65*10^2)</f>
        <v>2.7520484478194387</v>
      </c>
    </row>
    <row r="20" spans="1:5" x14ac:dyDescent="0.25">
      <c r="A20" s="4">
        <v>12662</v>
      </c>
      <c r="B20" s="4" t="s">
        <v>5</v>
      </c>
      <c r="C20" s="4" t="s">
        <v>41</v>
      </c>
      <c r="D20" s="3">
        <v>22</v>
      </c>
      <c r="E20" s="6">
        <f>LOG10(1.5*10^2)</f>
        <v>2.1760912590556813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28"/>
  <sheetViews>
    <sheetView zoomScale="80" zoomScaleNormal="80" workbookViewId="0"/>
  </sheetViews>
  <sheetFormatPr defaultRowHeight="15" x14ac:dyDescent="0.25"/>
  <cols>
    <col min="1" max="1" width="9.140625" style="4"/>
    <col min="2" max="3" width="9.85546875" style="4" customWidth="1"/>
    <col min="4" max="5" width="9.140625" style="4"/>
    <col min="6" max="6" width="11.140625" style="4" bestFit="1" customWidth="1"/>
    <col min="7" max="16384" width="9.140625" style="4"/>
  </cols>
  <sheetData>
    <row r="1" spans="1:39" ht="24" customHeight="1" x14ac:dyDescent="0.25">
      <c r="A1" s="2" t="s">
        <v>0</v>
      </c>
      <c r="B1" s="1" t="s">
        <v>7</v>
      </c>
      <c r="C1" s="1" t="s">
        <v>8</v>
      </c>
      <c r="D1" s="2" t="s">
        <v>9</v>
      </c>
      <c r="E1" s="3"/>
      <c r="F1" s="2" t="s">
        <v>11</v>
      </c>
      <c r="G1" s="2" t="s">
        <v>12</v>
      </c>
      <c r="H1" s="2" t="s">
        <v>20</v>
      </c>
      <c r="I1" s="3"/>
      <c r="J1" s="3"/>
      <c r="K1" s="3"/>
      <c r="L1" s="3"/>
      <c r="M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x14ac:dyDescent="0.25">
      <c r="A2" s="3">
        <v>0</v>
      </c>
      <c r="B2" s="3">
        <v>5.6989700043360187</v>
      </c>
      <c r="C2" s="3">
        <f t="shared" ref="C2:C24" si="0" xml:space="preserve"> $G$5 - ((A2 /$G$3)^$G$4)</f>
        <v>5.8739292988594896</v>
      </c>
      <c r="D2" s="3">
        <f t="shared" ref="D2:D24" si="1" xml:space="preserve"> (B2 - C2)^2</f>
        <v>3.0610754740150604E-2</v>
      </c>
      <c r="E2" s="3"/>
      <c r="F2" s="3"/>
      <c r="G2" s="3"/>
      <c r="H2" s="3"/>
      <c r="I2" s="3"/>
      <c r="J2" s="3"/>
      <c r="K2" s="3"/>
      <c r="L2" s="5" t="s">
        <v>21</v>
      </c>
      <c r="M2" s="6">
        <v>0.38962518798166323</v>
      </c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39" x14ac:dyDescent="0.25">
      <c r="A3" s="3">
        <v>10</v>
      </c>
      <c r="B3" s="3">
        <v>4.0791812460476251</v>
      </c>
      <c r="C3" s="3">
        <f t="shared" si="0"/>
        <v>3.7501920344172253</v>
      </c>
      <c r="D3" s="3">
        <f t="shared" si="1"/>
        <v>0.10823390136919202</v>
      </c>
      <c r="E3" s="3"/>
      <c r="F3" s="3" t="s">
        <v>14</v>
      </c>
      <c r="G3" s="6">
        <v>3.27523689752742</v>
      </c>
      <c r="H3" s="6">
        <v>2.0583922304020605</v>
      </c>
      <c r="I3" s="3"/>
      <c r="J3" s="3"/>
      <c r="K3" s="3"/>
      <c r="L3" s="5" t="s">
        <v>24</v>
      </c>
      <c r="M3" s="6">
        <f>SQRT(M2)</f>
        <v>0.62419963792176558</v>
      </c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x14ac:dyDescent="0.25">
      <c r="A4" s="3">
        <v>12</v>
      </c>
      <c r="B4" s="3">
        <v>2.1139433523068369</v>
      </c>
      <c r="C4" s="3">
        <f t="shared" si="0"/>
        <v>3.4721665799336496</v>
      </c>
      <c r="D4" s="3">
        <f t="shared" si="1"/>
        <v>1.8447703360649967</v>
      </c>
      <c r="E4" s="3"/>
      <c r="F4" s="3" t="s">
        <v>15</v>
      </c>
      <c r="G4" s="6">
        <v>0.67477230281013478</v>
      </c>
      <c r="H4" s="6">
        <v>0.22120176934078614</v>
      </c>
      <c r="I4" s="3"/>
      <c r="J4" s="3"/>
      <c r="K4" s="3"/>
      <c r="L4" s="5" t="s">
        <v>22</v>
      </c>
      <c r="M4" s="6">
        <v>0.76915699151157779</v>
      </c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39" x14ac:dyDescent="0.25">
      <c r="A5" s="3">
        <v>14</v>
      </c>
      <c r="B5" s="3">
        <v>2.3324384599156054</v>
      </c>
      <c r="C5" s="3">
        <f t="shared" si="0"/>
        <v>3.2088880294861473</v>
      </c>
      <c r="D5" s="3">
        <f t="shared" si="1"/>
        <v>0.76816384800038817</v>
      </c>
      <c r="E5" s="3"/>
      <c r="F5" s="3" t="s">
        <v>13</v>
      </c>
      <c r="G5" s="6">
        <v>5.8739292988594896</v>
      </c>
      <c r="H5" s="6">
        <v>0.36017441252490706</v>
      </c>
      <c r="I5" s="3"/>
      <c r="J5" s="3"/>
      <c r="K5" s="3"/>
      <c r="L5" s="5" t="s">
        <v>23</v>
      </c>
      <c r="M5" s="6">
        <v>0.74607269066273552</v>
      </c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39" x14ac:dyDescent="0.25">
      <c r="A6" s="3">
        <v>16</v>
      </c>
      <c r="B6" s="3">
        <v>3.7283537820212285</v>
      </c>
      <c r="C6" s="3">
        <f t="shared" si="0"/>
        <v>2.9576084793860686</v>
      </c>
      <c r="D6" s="3">
        <f t="shared" si="1"/>
        <v>0.59404832153416409</v>
      </c>
      <c r="E6" s="3"/>
      <c r="F6" s="3"/>
      <c r="G6" s="3"/>
      <c r="H6" s="3"/>
      <c r="I6" s="3"/>
      <c r="J6" s="3"/>
      <c r="K6" s="3"/>
      <c r="L6" s="3"/>
      <c r="M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39" x14ac:dyDescent="0.25">
      <c r="A7" s="3">
        <v>18</v>
      </c>
      <c r="B7" s="3">
        <v>3.6384892569546374</v>
      </c>
      <c r="C7" s="3">
        <f t="shared" si="0"/>
        <v>2.7163693580488237</v>
      </c>
      <c r="D7" s="3">
        <f t="shared" si="1"/>
        <v>0.85030510795806802</v>
      </c>
      <c r="E7" s="3"/>
      <c r="F7" s="2" t="s">
        <v>25</v>
      </c>
      <c r="G7" s="3"/>
      <c r="H7" s="3"/>
      <c r="I7" s="3"/>
      <c r="J7" s="3"/>
      <c r="K7" s="3"/>
      <c r="L7" s="3"/>
      <c r="M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39" x14ac:dyDescent="0.25">
      <c r="A8" s="3">
        <v>20</v>
      </c>
      <c r="B8" s="3">
        <v>2.6989700043360187</v>
      </c>
      <c r="C8" s="3">
        <f t="shared" si="0"/>
        <v>2.4837123486123462</v>
      </c>
      <c r="D8" s="3">
        <f t="shared" si="1"/>
        <v>4.6335858347651117E-2</v>
      </c>
      <c r="E8" s="3"/>
      <c r="F8" s="3" t="s">
        <v>31</v>
      </c>
      <c r="G8" s="3"/>
      <c r="H8" s="3"/>
      <c r="I8" s="3"/>
      <c r="J8" s="3"/>
      <c r="K8" s="3"/>
      <c r="L8" s="3"/>
      <c r="M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39" x14ac:dyDescent="0.25">
      <c r="A9" s="3">
        <v>0</v>
      </c>
      <c r="B9" s="3">
        <v>6.0530784434834199</v>
      </c>
      <c r="C9" s="3">
        <f t="shared" si="0"/>
        <v>5.8739292988594896</v>
      </c>
      <c r="D9" s="3">
        <f t="shared" si="1"/>
        <v>3.2094416019485927E-2</v>
      </c>
      <c r="E9" s="3"/>
      <c r="F9" s="2" t="s">
        <v>27</v>
      </c>
      <c r="G9" s="3"/>
      <c r="H9" s="3"/>
      <c r="I9" s="3"/>
      <c r="J9" s="3"/>
      <c r="K9" s="3"/>
      <c r="L9" s="3"/>
      <c r="M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39" x14ac:dyDescent="0.25">
      <c r="A10" s="3">
        <v>10</v>
      </c>
      <c r="B10" s="3">
        <v>4.6989700043360187</v>
      </c>
      <c r="C10" s="3">
        <f t="shared" si="0"/>
        <v>3.7501920344172253</v>
      </c>
      <c r="D10" s="3">
        <f t="shared" si="1"/>
        <v>0.90017963620322694</v>
      </c>
      <c r="E10" s="3"/>
      <c r="F10" s="3" t="s">
        <v>32</v>
      </c>
      <c r="G10" s="3"/>
      <c r="H10" s="3"/>
      <c r="I10" s="3"/>
      <c r="J10" s="3"/>
      <c r="K10" s="3"/>
      <c r="L10" s="3"/>
      <c r="M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39" x14ac:dyDescent="0.25">
      <c r="A11" s="3">
        <v>12</v>
      </c>
      <c r="B11" s="3">
        <v>2.8260748027008264</v>
      </c>
      <c r="C11" s="3">
        <f t="shared" si="0"/>
        <v>3.4721665799336496</v>
      </c>
      <c r="D11" s="3">
        <f t="shared" si="1"/>
        <v>0.41743458460786803</v>
      </c>
      <c r="E11" s="3"/>
      <c r="F11" s="2" t="s">
        <v>29</v>
      </c>
      <c r="G11" s="3"/>
      <c r="H11" s="3"/>
      <c r="I11" s="3"/>
      <c r="J11" s="3"/>
      <c r="K11" s="3"/>
      <c r="L11" s="3"/>
      <c r="M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39" x14ac:dyDescent="0.25">
      <c r="A12" s="3">
        <v>14</v>
      </c>
      <c r="B12" s="3">
        <v>3.3010299956639813</v>
      </c>
      <c r="C12" s="3">
        <f t="shared" si="0"/>
        <v>3.2088880294861473</v>
      </c>
      <c r="D12" s="3">
        <f t="shared" si="1"/>
        <v>8.4901419311171032E-3</v>
      </c>
      <c r="E12" s="3"/>
      <c r="F12" s="11" t="s">
        <v>33</v>
      </c>
      <c r="G12" s="12"/>
      <c r="H12" s="12"/>
      <c r="I12" s="12"/>
      <c r="J12" s="12"/>
      <c r="K12" s="12"/>
      <c r="L12" s="12"/>
      <c r="M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39" x14ac:dyDescent="0.25">
      <c r="A13" s="3">
        <v>16</v>
      </c>
      <c r="B13" s="3">
        <v>2.7403626894942437</v>
      </c>
      <c r="C13" s="3">
        <f t="shared" si="0"/>
        <v>2.9576084793860686</v>
      </c>
      <c r="D13" s="3">
        <f t="shared" si="1"/>
        <v>4.7195733225722958E-2</v>
      </c>
      <c r="E13" s="3"/>
      <c r="F13" s="12"/>
      <c r="G13" s="12"/>
      <c r="H13" s="12"/>
      <c r="I13" s="12"/>
      <c r="J13" s="12"/>
      <c r="K13" s="12"/>
      <c r="L13" s="12"/>
      <c r="M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</row>
    <row r="14" spans="1:39" x14ac:dyDescent="0.25">
      <c r="A14" s="3">
        <v>18</v>
      </c>
      <c r="B14" s="3">
        <v>3.7118072290411912</v>
      </c>
      <c r="C14" s="3">
        <f t="shared" si="0"/>
        <v>2.7163693580488237</v>
      </c>
      <c r="D14" s="3">
        <f t="shared" si="1"/>
        <v>0.99089655500581719</v>
      </c>
      <c r="E14" s="3"/>
      <c r="F14" s="12"/>
      <c r="G14" s="12"/>
      <c r="H14" s="12"/>
      <c r="I14" s="12"/>
      <c r="J14" s="12"/>
      <c r="K14" s="12"/>
      <c r="L14" s="12"/>
      <c r="M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</row>
    <row r="15" spans="1:39" x14ac:dyDescent="0.25">
      <c r="A15" s="3">
        <v>20</v>
      </c>
      <c r="B15" s="3">
        <v>2.2671717284030137</v>
      </c>
      <c r="C15" s="3">
        <f t="shared" si="0"/>
        <v>2.4837123486123462</v>
      </c>
      <c r="D15" s="3">
        <f t="shared" si="1"/>
        <v>4.6889840200642387E-2</v>
      </c>
      <c r="E15" s="3"/>
      <c r="F15" s="3"/>
      <c r="G15" s="3"/>
      <c r="H15" s="3"/>
      <c r="I15" s="3"/>
      <c r="J15" s="3"/>
      <c r="K15" s="3"/>
      <c r="L15" s="3"/>
      <c r="M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</row>
    <row r="16" spans="1:39" x14ac:dyDescent="0.25">
      <c r="A16" s="3">
        <v>22</v>
      </c>
      <c r="B16" s="3">
        <v>2.6020599913279625</v>
      </c>
      <c r="C16" s="3">
        <f t="shared" si="0"/>
        <v>2.2585145247977261</v>
      </c>
      <c r="D16" s="3">
        <f t="shared" si="1"/>
        <v>0.1180234875734778</v>
      </c>
      <c r="E16" s="3"/>
      <c r="F16" s="3"/>
      <c r="G16" s="3"/>
      <c r="H16" s="3"/>
      <c r="I16" s="3"/>
      <c r="J16" s="3"/>
      <c r="K16" s="3"/>
      <c r="L16" s="3"/>
      <c r="M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</row>
    <row r="17" spans="1:39" x14ac:dyDescent="0.25">
      <c r="A17" s="3">
        <v>0</v>
      </c>
      <c r="B17" s="3">
        <v>5.8450980400142569</v>
      </c>
      <c r="C17" s="3">
        <f t="shared" si="0"/>
        <v>5.8739292988594896</v>
      </c>
      <c r="D17" s="3">
        <f t="shared" si="1"/>
        <v>8.3124148660080493E-4</v>
      </c>
      <c r="E17" s="3"/>
      <c r="F17" s="3"/>
      <c r="G17" s="3"/>
      <c r="H17" s="3"/>
      <c r="I17" s="3"/>
      <c r="J17" s="3"/>
      <c r="K17" s="3"/>
      <c r="L17" s="3"/>
      <c r="M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</row>
    <row r="18" spans="1:39" x14ac:dyDescent="0.25">
      <c r="A18" s="3">
        <v>10</v>
      </c>
      <c r="B18" s="3">
        <v>4.1760912590556813</v>
      </c>
      <c r="C18" s="3">
        <f t="shared" si="0"/>
        <v>3.7501920344172253</v>
      </c>
      <c r="D18" s="3">
        <f t="shared" si="1"/>
        <v>0.18139014954763807</v>
      </c>
      <c r="E18" s="3"/>
      <c r="F18" s="3"/>
      <c r="G18" s="3"/>
      <c r="H18" s="3"/>
      <c r="I18" s="3"/>
      <c r="J18" s="3"/>
      <c r="K18" s="3"/>
      <c r="L18" s="3"/>
      <c r="M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</row>
    <row r="19" spans="1:39" x14ac:dyDescent="0.25">
      <c r="A19" s="3">
        <v>12</v>
      </c>
      <c r="B19" s="3">
        <v>3.5185139398778875</v>
      </c>
      <c r="C19" s="3">
        <f t="shared" si="0"/>
        <v>3.4721665799336496</v>
      </c>
      <c r="D19" s="3">
        <f t="shared" si="1"/>
        <v>2.1480777738007465E-3</v>
      </c>
      <c r="E19" s="3"/>
      <c r="F19" s="3"/>
      <c r="G19" s="3"/>
      <c r="H19" s="3"/>
      <c r="I19" s="3"/>
      <c r="J19" s="3"/>
      <c r="K19" s="3"/>
      <c r="L19" s="3"/>
      <c r="M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</row>
    <row r="20" spans="1:39" x14ac:dyDescent="0.25">
      <c r="A20" s="3">
        <v>14</v>
      </c>
      <c r="B20" s="3">
        <v>2.9294189257142929</v>
      </c>
      <c r="C20" s="3">
        <f t="shared" si="0"/>
        <v>3.2088880294861473</v>
      </c>
      <c r="D20" s="3">
        <f t="shared" si="1"/>
        <v>7.8102979963043523E-2</v>
      </c>
      <c r="E20" s="3"/>
      <c r="F20" s="3"/>
      <c r="G20" s="3"/>
      <c r="H20" s="3"/>
      <c r="I20" s="3"/>
      <c r="J20" s="3"/>
      <c r="K20" s="3"/>
      <c r="L20" s="3"/>
      <c r="M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</row>
    <row r="21" spans="1:39" x14ac:dyDescent="0.25">
      <c r="A21" s="3">
        <v>16</v>
      </c>
      <c r="B21" s="3">
        <v>2.6857417386022635</v>
      </c>
      <c r="C21" s="3">
        <f t="shared" si="0"/>
        <v>2.9576084793860686</v>
      </c>
      <c r="D21" s="3">
        <f t="shared" si="1"/>
        <v>7.3911524744408694E-2</v>
      </c>
      <c r="E21" s="3"/>
      <c r="F21" s="3"/>
      <c r="G21" s="3"/>
      <c r="H21" s="3"/>
      <c r="I21" s="3"/>
      <c r="J21" s="3"/>
      <c r="K21" s="3"/>
      <c r="L21" s="3"/>
      <c r="M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</row>
    <row r="22" spans="1:39" x14ac:dyDescent="0.25">
      <c r="A22" s="3">
        <v>18</v>
      </c>
      <c r="B22" s="3">
        <v>2.5854607295085006</v>
      </c>
      <c r="C22" s="3">
        <f t="shared" si="0"/>
        <v>2.7163693580488237</v>
      </c>
      <c r="D22" s="3">
        <f t="shared" si="1"/>
        <v>1.7137069026308308E-2</v>
      </c>
      <c r="E22" s="3"/>
      <c r="F22" s="3"/>
      <c r="G22" s="3"/>
      <c r="H22" s="3"/>
      <c r="I22" s="3"/>
      <c r="J22" s="3"/>
      <c r="K22" s="3"/>
      <c r="L22" s="3"/>
      <c r="M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</row>
    <row r="23" spans="1:39" x14ac:dyDescent="0.25">
      <c r="A23" s="3">
        <v>20</v>
      </c>
      <c r="B23" s="3">
        <v>2.1303337684950061</v>
      </c>
      <c r="C23" s="3">
        <f t="shared" si="0"/>
        <v>2.4837123486123462</v>
      </c>
      <c r="D23" s="3">
        <f t="shared" si="1"/>
        <v>0.12487642088574738</v>
      </c>
      <c r="E23" s="3"/>
      <c r="F23" s="3"/>
      <c r="G23" s="3"/>
      <c r="H23" s="3"/>
      <c r="I23" s="3"/>
      <c r="J23" s="3"/>
      <c r="K23" s="3"/>
      <c r="L23" s="3"/>
      <c r="M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</row>
    <row r="24" spans="1:39" x14ac:dyDescent="0.25">
      <c r="A24" s="3">
        <v>22</v>
      </c>
      <c r="B24" s="3">
        <v>1.5440680443502757</v>
      </c>
      <c r="C24" s="3">
        <f t="shared" si="0"/>
        <v>2.2585145247977261</v>
      </c>
      <c r="D24" s="3">
        <f t="shared" si="1"/>
        <v>0.51043377342374918</v>
      </c>
      <c r="E24" s="3"/>
      <c r="F24" s="3"/>
      <c r="G24" s="3"/>
      <c r="H24" s="3"/>
      <c r="I24" s="3"/>
      <c r="J24" s="3"/>
      <c r="K24" s="3"/>
      <c r="L24" s="3"/>
      <c r="M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</row>
    <row r="25" spans="1:39" x14ac:dyDescent="0.25">
      <c r="A25" s="2" t="s">
        <v>10</v>
      </c>
      <c r="B25" s="3"/>
      <c r="C25" s="3"/>
      <c r="D25" s="3">
        <f>SUM(D2:D24)</f>
        <v>7.7925037596332647</v>
      </c>
      <c r="E25" s="3"/>
      <c r="F25" s="3"/>
      <c r="G25" s="3"/>
      <c r="H25" s="3"/>
      <c r="I25" s="3"/>
      <c r="J25" s="3"/>
      <c r="K25" s="3"/>
      <c r="L25" s="3"/>
      <c r="M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</row>
    <row r="26" spans="1:39" x14ac:dyDescent="0.25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</row>
    <row r="27" spans="1:39" x14ac:dyDescent="0.25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</row>
    <row r="28" spans="1:39" x14ac:dyDescent="0.25">
      <c r="A28" s="3">
        <v>0</v>
      </c>
      <c r="B28" s="3"/>
      <c r="C28" s="3">
        <f xml:space="preserve"> $G$5 - ((A28 /$G$3)^$G$4)</f>
        <v>5.8739292988594896</v>
      </c>
      <c r="D28" s="3"/>
      <c r="E28" s="3"/>
      <c r="F28" s="3"/>
      <c r="G28" s="3"/>
      <c r="H28" s="3"/>
      <c r="I28" s="3"/>
      <c r="J28" s="3"/>
      <c r="K28" s="3"/>
      <c r="L28" s="3"/>
      <c r="M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</row>
    <row r="29" spans="1:39" x14ac:dyDescent="0.25">
      <c r="A29" s="3">
        <v>0.22</v>
      </c>
      <c r="B29" s="3"/>
      <c r="C29" s="3">
        <f t="shared" ref="C29:C92" si="2" xml:space="preserve"> $G$5 - ((A29 /$G$3)^$G$4)</f>
        <v>5.7122652234532554</v>
      </c>
      <c r="D29" s="3"/>
      <c r="E29" s="3"/>
      <c r="F29" s="3"/>
      <c r="G29" s="3"/>
      <c r="H29" s="3"/>
      <c r="I29" s="3"/>
      <c r="J29" s="3"/>
      <c r="K29" s="3"/>
      <c r="L29" s="3"/>
      <c r="M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</row>
    <row r="30" spans="1:39" x14ac:dyDescent="0.25">
      <c r="A30" s="3">
        <v>0.44</v>
      </c>
      <c r="B30" s="3"/>
      <c r="C30" s="3">
        <f t="shared" si="2"/>
        <v>5.6158576918557941</v>
      </c>
      <c r="D30" s="3"/>
      <c r="E30" s="3"/>
      <c r="F30" s="3"/>
      <c r="G30" s="3"/>
      <c r="H30" s="3"/>
      <c r="I30" s="3"/>
      <c r="J30" s="3"/>
      <c r="K30" s="3"/>
      <c r="L30" s="3"/>
      <c r="M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</row>
    <row r="31" spans="1:39" x14ac:dyDescent="0.25">
      <c r="A31" s="3">
        <v>0.66</v>
      </c>
      <c r="B31" s="3"/>
      <c r="C31" s="3">
        <f t="shared" si="2"/>
        <v>5.5346465871601653</v>
      </c>
      <c r="D31" s="3"/>
      <c r="E31" s="3"/>
      <c r="F31" s="3"/>
      <c r="G31" s="3"/>
      <c r="H31" s="3"/>
      <c r="I31" s="3"/>
      <c r="J31" s="3"/>
      <c r="K31" s="3"/>
      <c r="L31" s="3"/>
      <c r="M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</row>
    <row r="32" spans="1:39" x14ac:dyDescent="0.25">
      <c r="A32" s="3">
        <v>0.88</v>
      </c>
      <c r="B32" s="3"/>
      <c r="C32" s="3">
        <f t="shared" si="2"/>
        <v>5.4619580295832879</v>
      </c>
      <c r="D32" s="3"/>
      <c r="E32" s="3"/>
      <c r="F32" s="3"/>
      <c r="G32" s="3"/>
      <c r="H32" s="3"/>
      <c r="I32" s="3"/>
      <c r="J32" s="3"/>
      <c r="K32" s="3"/>
      <c r="L32" s="3"/>
      <c r="M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</row>
    <row r="33" spans="1:39" x14ac:dyDescent="0.25">
      <c r="A33" s="3">
        <v>1.1000000000000001</v>
      </c>
      <c r="B33" s="3"/>
      <c r="C33" s="3">
        <f t="shared" si="2"/>
        <v>5.3950135462478839</v>
      </c>
      <c r="D33" s="3"/>
      <c r="E33" s="3"/>
      <c r="F33" s="3"/>
      <c r="G33" s="3"/>
      <c r="H33" s="3"/>
      <c r="I33" s="3"/>
      <c r="J33" s="3"/>
      <c r="K33" s="3"/>
      <c r="L33" s="3"/>
      <c r="M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</row>
    <row r="34" spans="1:39" x14ac:dyDescent="0.25">
      <c r="A34" s="3">
        <v>1.32</v>
      </c>
      <c r="B34" s="3"/>
      <c r="C34" s="3">
        <f t="shared" si="2"/>
        <v>5.3323171044570232</v>
      </c>
      <c r="D34" s="3"/>
      <c r="E34" s="3"/>
      <c r="F34" s="3"/>
      <c r="G34" s="3"/>
      <c r="H34" s="3"/>
      <c r="I34" s="3"/>
      <c r="J34" s="3"/>
      <c r="K34" s="3"/>
      <c r="L34" s="3"/>
      <c r="M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</row>
    <row r="35" spans="1:39" x14ac:dyDescent="0.25">
      <c r="A35" s="3">
        <v>1.54</v>
      </c>
      <c r="B35" s="3"/>
      <c r="C35" s="3">
        <f t="shared" si="2"/>
        <v>5.2729461797926813</v>
      </c>
      <c r="D35" s="3"/>
      <c r="E35" s="3"/>
      <c r="F35" s="3"/>
      <c r="G35" s="3"/>
      <c r="H35" s="3"/>
      <c r="I35" s="3"/>
      <c r="J35" s="3"/>
      <c r="K35" s="3"/>
      <c r="L35" s="3"/>
      <c r="M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</row>
    <row r="36" spans="1:39" x14ac:dyDescent="0.25">
      <c r="A36" s="3">
        <v>1.76</v>
      </c>
      <c r="B36" s="3"/>
      <c r="C36" s="3">
        <f t="shared" si="2"/>
        <v>5.2162811031530385</v>
      </c>
      <c r="D36" s="3"/>
      <c r="E36" s="3"/>
      <c r="F36" s="3"/>
      <c r="G36" s="3"/>
      <c r="H36" s="3"/>
      <c r="I36" s="3"/>
      <c r="J36" s="3"/>
      <c r="K36" s="3"/>
      <c r="L36" s="3"/>
      <c r="M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</row>
    <row r="37" spans="1:39" x14ac:dyDescent="0.25">
      <c r="A37" s="3">
        <v>1.98</v>
      </c>
      <c r="B37" s="3"/>
      <c r="C37" s="3">
        <f t="shared" si="2"/>
        <v>5.1618802046572778</v>
      </c>
      <c r="D37" s="3"/>
      <c r="E37" s="3"/>
      <c r="F37" s="3"/>
      <c r="G37" s="3"/>
      <c r="H37" s="3"/>
      <c r="I37" s="3"/>
      <c r="J37" s="3"/>
      <c r="K37" s="3"/>
      <c r="L37" s="3"/>
      <c r="M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</row>
    <row r="38" spans="1:39" x14ac:dyDescent="0.25">
      <c r="A38" s="3">
        <v>2.2000000000000002</v>
      </c>
      <c r="B38" s="3"/>
      <c r="C38" s="3">
        <f t="shared" si="2"/>
        <v>5.1094146249265862</v>
      </c>
      <c r="D38" s="3"/>
      <c r="E38" s="3"/>
      <c r="F38" s="3"/>
      <c r="G38" s="3"/>
      <c r="H38" s="3"/>
      <c r="I38" s="3"/>
      <c r="J38" s="3"/>
      <c r="K38" s="3"/>
      <c r="L38" s="3"/>
      <c r="M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</row>
    <row r="39" spans="1:39" x14ac:dyDescent="0.25">
      <c r="A39" s="3">
        <v>2.4200000000000004</v>
      </c>
      <c r="B39" s="3"/>
      <c r="C39" s="3">
        <f t="shared" si="2"/>
        <v>5.0586311372115942</v>
      </c>
      <c r="D39" s="3"/>
      <c r="E39" s="3"/>
      <c r="F39" s="3"/>
      <c r="G39" s="3"/>
      <c r="H39" s="3"/>
      <c r="I39" s="3"/>
      <c r="J39" s="3"/>
      <c r="K39" s="3"/>
      <c r="L39" s="3"/>
      <c r="M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</row>
    <row r="40" spans="1:39" x14ac:dyDescent="0.25">
      <c r="A40" s="3">
        <v>2.6400000000000006</v>
      </c>
      <c r="B40" s="3"/>
      <c r="C40" s="3">
        <f t="shared" si="2"/>
        <v>5.0093294857531303</v>
      </c>
      <c r="D40" s="3"/>
      <c r="E40" s="3"/>
      <c r="F40" s="3"/>
      <c r="G40" s="3"/>
      <c r="H40" s="3"/>
      <c r="I40" s="3"/>
      <c r="J40" s="3"/>
      <c r="K40" s="3"/>
      <c r="L40" s="3"/>
      <c r="M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</row>
    <row r="41" spans="1:39" x14ac:dyDescent="0.25">
      <c r="A41" s="3">
        <v>2.8600000000000008</v>
      </c>
      <c r="B41" s="3"/>
      <c r="C41" s="3">
        <f t="shared" si="2"/>
        <v>4.9613478337978725</v>
      </c>
      <c r="D41" s="3"/>
      <c r="E41" s="3"/>
      <c r="F41" s="3"/>
      <c r="G41" s="3"/>
      <c r="H41" s="3"/>
      <c r="I41" s="3"/>
      <c r="J41" s="3"/>
      <c r="K41" s="3"/>
      <c r="L41" s="3"/>
      <c r="M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</row>
    <row r="42" spans="1:39" x14ac:dyDescent="0.25">
      <c r="A42" s="3">
        <v>3.080000000000001</v>
      </c>
      <c r="B42" s="3"/>
      <c r="C42" s="3">
        <f t="shared" si="2"/>
        <v>4.9145530185700492</v>
      </c>
      <c r="D42" s="3"/>
      <c r="E42" s="3"/>
      <c r="F42" s="3"/>
      <c r="G42" s="3"/>
      <c r="H42" s="3"/>
      <c r="I42" s="3"/>
      <c r="J42" s="3"/>
      <c r="K42" s="3"/>
      <c r="L42" s="3"/>
      <c r="M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</row>
    <row r="43" spans="1:39" x14ac:dyDescent="0.25">
      <c r="A43" s="3">
        <v>3.3000000000000012</v>
      </c>
      <c r="B43" s="3"/>
      <c r="C43" s="3">
        <f t="shared" si="2"/>
        <v>4.8688337956483743</v>
      </c>
      <c r="D43" s="3"/>
      <c r="E43" s="3"/>
      <c r="F43" s="3"/>
      <c r="G43" s="3"/>
      <c r="H43" s="3"/>
      <c r="I43" s="3"/>
      <c r="J43" s="3"/>
      <c r="K43" s="3"/>
      <c r="L43" s="3"/>
      <c r="M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</row>
    <row r="44" spans="1:39" x14ac:dyDescent="0.25">
      <c r="A44" s="3">
        <v>3.5200000000000014</v>
      </c>
      <c r="B44" s="3"/>
      <c r="C44" s="3">
        <f t="shared" si="2"/>
        <v>4.8240960178255525</v>
      </c>
      <c r="D44" s="3"/>
      <c r="E44" s="3"/>
      <c r="F44" s="3"/>
      <c r="G44" s="3"/>
      <c r="H44" s="3"/>
      <c r="I44" s="3"/>
      <c r="J44" s="3"/>
      <c r="K44" s="3"/>
      <c r="L44" s="3"/>
      <c r="M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</row>
    <row r="45" spans="1:39" x14ac:dyDescent="0.25">
      <c r="A45" s="3">
        <v>3.7400000000000015</v>
      </c>
      <c r="B45" s="3"/>
      <c r="C45" s="3">
        <f t="shared" si="2"/>
        <v>4.7802591084433521</v>
      </c>
      <c r="D45" s="3"/>
      <c r="E45" s="3"/>
      <c r="F45" s="3"/>
      <c r="G45" s="3"/>
      <c r="H45" s="3"/>
      <c r="I45" s="3"/>
      <c r="J45" s="3"/>
      <c r="K45" s="3"/>
      <c r="L45" s="3"/>
      <c r="M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</row>
    <row r="46" spans="1:39" x14ac:dyDescent="0.25">
      <c r="A46" s="3">
        <v>3.9600000000000017</v>
      </c>
      <c r="B46" s="3"/>
      <c r="C46" s="3">
        <f t="shared" si="2"/>
        <v>4.7372534260996693</v>
      </c>
      <c r="D46" s="3"/>
      <c r="E46" s="3"/>
      <c r="F46" s="3"/>
      <c r="G46" s="3"/>
      <c r="H46" s="3"/>
      <c r="I46" s="3"/>
      <c r="J46" s="3"/>
      <c r="K46" s="3"/>
      <c r="L46" s="3"/>
      <c r="M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</row>
    <row r="47" spans="1:39" x14ac:dyDescent="0.25">
      <c r="A47" s="3">
        <v>4.1800000000000015</v>
      </c>
      <c r="B47" s="3"/>
      <c r="C47" s="3">
        <f t="shared" si="2"/>
        <v>4.6950182585462237</v>
      </c>
      <c r="D47" s="3"/>
      <c r="E47" s="3"/>
      <c r="F47" s="3"/>
      <c r="G47" s="3"/>
      <c r="H47" s="3"/>
      <c r="I47" s="3"/>
      <c r="J47" s="3"/>
      <c r="K47" s="3"/>
      <c r="L47" s="3"/>
      <c r="M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</row>
    <row r="48" spans="1:39" x14ac:dyDescent="0.25">
      <c r="A48" s="3">
        <v>4.4000000000000012</v>
      </c>
      <c r="B48" s="3"/>
      <c r="C48" s="3">
        <f t="shared" si="2"/>
        <v>4.6535002704313078</v>
      </c>
      <c r="D48" s="3"/>
      <c r="E48" s="3"/>
      <c r="F48" s="3"/>
      <c r="G48" s="3"/>
      <c r="H48" s="3"/>
      <c r="I48" s="3"/>
      <c r="J48" s="3"/>
      <c r="K48" s="3"/>
      <c r="L48" s="3"/>
      <c r="M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</row>
    <row r="49" spans="1:39" x14ac:dyDescent="0.25">
      <c r="A49" s="3">
        <v>4.620000000000001</v>
      </c>
      <c r="B49" s="3"/>
      <c r="C49" s="3">
        <f t="shared" si="2"/>
        <v>4.6126522847168534</v>
      </c>
      <c r="D49" s="3"/>
      <c r="E49" s="3"/>
      <c r="F49" s="3"/>
      <c r="G49" s="3"/>
      <c r="H49" s="3"/>
      <c r="I49" s="3"/>
      <c r="J49" s="3"/>
      <c r="K49" s="3"/>
      <c r="L49" s="3"/>
      <c r="M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</row>
    <row r="50" spans="1:39" x14ac:dyDescent="0.25">
      <c r="A50" s="3">
        <v>4.8400000000000007</v>
      </c>
      <c r="B50" s="3"/>
      <c r="C50" s="3">
        <f t="shared" si="2"/>
        <v>4.5724323136145077</v>
      </c>
      <c r="D50" s="3"/>
      <c r="E50" s="3"/>
      <c r="F50" s="3"/>
      <c r="G50" s="3"/>
      <c r="H50" s="3"/>
      <c r="I50" s="3"/>
      <c r="J50" s="3"/>
      <c r="K50" s="3"/>
      <c r="L50" s="3"/>
      <c r="M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</row>
    <row r="51" spans="1:39" x14ac:dyDescent="0.25">
      <c r="A51" s="3">
        <v>5.0600000000000005</v>
      </c>
      <c r="B51" s="3"/>
      <c r="C51" s="3">
        <f t="shared" si="2"/>
        <v>4.532802778962564</v>
      </c>
      <c r="D51" s="3"/>
      <c r="E51" s="3"/>
      <c r="F51" s="3"/>
      <c r="G51" s="3"/>
      <c r="H51" s="3"/>
      <c r="I51" s="3"/>
      <c r="J51" s="3"/>
      <c r="K51" s="3"/>
      <c r="L51" s="3"/>
      <c r="M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</row>
    <row r="52" spans="1:39" x14ac:dyDescent="0.25">
      <c r="A52" s="3">
        <v>5.28</v>
      </c>
      <c r="B52" s="3"/>
      <c r="C52" s="3">
        <f t="shared" si="2"/>
        <v>4.493729878408355</v>
      </c>
      <c r="D52" s="3"/>
      <c r="E52" s="3"/>
      <c r="F52" s="3"/>
      <c r="G52" s="3"/>
      <c r="H52" s="3"/>
      <c r="I52" s="3"/>
      <c r="J52" s="3"/>
      <c r="K52" s="3"/>
      <c r="L52" s="3"/>
      <c r="M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</row>
    <row r="53" spans="1:39" x14ac:dyDescent="0.25">
      <c r="A53" s="3">
        <v>5.5</v>
      </c>
      <c r="B53" s="3"/>
      <c r="C53" s="3">
        <f t="shared" si="2"/>
        <v>4.4551830652067883</v>
      </c>
      <c r="D53" s="3"/>
      <c r="E53" s="3"/>
      <c r="F53" s="3"/>
      <c r="G53" s="3"/>
      <c r="H53" s="3"/>
      <c r="I53" s="3"/>
      <c r="J53" s="3"/>
      <c r="K53" s="3"/>
      <c r="L53" s="3"/>
      <c r="M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</row>
    <row r="54" spans="1:39" x14ac:dyDescent="0.25">
      <c r="A54" s="3">
        <v>5.72</v>
      </c>
      <c r="B54" s="3"/>
      <c r="C54" s="3">
        <f t="shared" si="2"/>
        <v>4.4171346175523496</v>
      </c>
      <c r="D54" s="3"/>
      <c r="E54" s="3"/>
      <c r="F54" s="3"/>
      <c r="G54" s="3"/>
      <c r="H54" s="3"/>
      <c r="I54" s="3"/>
      <c r="J54" s="3"/>
      <c r="K54" s="3"/>
      <c r="L54" s="3"/>
      <c r="M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</row>
    <row r="55" spans="1:39" x14ac:dyDescent="0.25">
      <c r="A55" s="3">
        <v>5.9399999999999995</v>
      </c>
      <c r="B55" s="3"/>
      <c r="C55" s="3">
        <f t="shared" si="2"/>
        <v>4.3795592791942655</v>
      </c>
      <c r="D55" s="3"/>
      <c r="E55" s="3"/>
      <c r="F55" s="3"/>
      <c r="G55" s="3"/>
      <c r="H55" s="3"/>
      <c r="I55" s="3"/>
      <c r="J55" s="3"/>
      <c r="K55" s="3"/>
      <c r="L55" s="3"/>
      <c r="M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</row>
    <row r="56" spans="1:39" x14ac:dyDescent="0.25">
      <c r="A56" s="3">
        <v>6.1599999999999993</v>
      </c>
      <c r="B56" s="3"/>
      <c r="C56" s="3">
        <f t="shared" si="2"/>
        <v>4.3424339573411093</v>
      </c>
      <c r="D56" s="3"/>
      <c r="E56" s="3"/>
      <c r="F56" s="3"/>
      <c r="G56" s="3"/>
      <c r="H56" s="3"/>
      <c r="I56" s="3"/>
      <c r="J56" s="3"/>
      <c r="K56" s="3"/>
      <c r="L56" s="3"/>
      <c r="M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</row>
    <row r="57" spans="1:39" x14ac:dyDescent="0.25">
      <c r="A57" s="3">
        <v>6.379999999999999</v>
      </c>
      <c r="B57" s="3"/>
      <c r="C57" s="3">
        <f t="shared" si="2"/>
        <v>4.3057374670086697</v>
      </c>
      <c r="D57" s="3"/>
      <c r="E57" s="3"/>
      <c r="F57" s="3"/>
      <c r="G57" s="3"/>
      <c r="H57" s="3"/>
      <c r="I57" s="3"/>
      <c r="J57" s="3"/>
      <c r="K57" s="3"/>
      <c r="L57" s="3"/>
      <c r="M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</row>
    <row r="58" spans="1:39" x14ac:dyDescent="0.25">
      <c r="A58" s="3">
        <v>6.5999999999999988</v>
      </c>
      <c r="B58" s="3"/>
      <c r="C58" s="3">
        <f t="shared" si="2"/>
        <v>4.2694503133205783</v>
      </c>
      <c r="D58" s="3"/>
      <c r="E58" s="3"/>
      <c r="F58" s="3"/>
      <c r="G58" s="3"/>
      <c r="H58" s="3"/>
      <c r="I58" s="3"/>
      <c r="J58" s="3"/>
      <c r="K58" s="3"/>
      <c r="L58" s="3"/>
      <c r="M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</row>
    <row r="59" spans="1:39" x14ac:dyDescent="0.25">
      <c r="A59" s="3">
        <v>6.8199999999999985</v>
      </c>
      <c r="B59" s="3"/>
      <c r="C59" s="3">
        <f t="shared" si="2"/>
        <v>4.2335545050539611</v>
      </c>
      <c r="D59" s="3"/>
      <c r="E59" s="3"/>
      <c r="F59" s="3"/>
      <c r="G59" s="3"/>
      <c r="H59" s="3"/>
      <c r="I59" s="3"/>
      <c r="J59" s="3"/>
      <c r="K59" s="3"/>
      <c r="L59" s="3"/>
      <c r="M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</row>
    <row r="60" spans="1:39" x14ac:dyDescent="0.25">
      <c r="A60" s="3">
        <v>7.0399999999999983</v>
      </c>
      <c r="B60" s="3"/>
      <c r="C60" s="3">
        <f t="shared" si="2"/>
        <v>4.198033394085444</v>
      </c>
      <c r="D60" s="3"/>
      <c r="E60" s="3"/>
      <c r="F60" s="3"/>
      <c r="G60" s="3"/>
      <c r="H60" s="3"/>
      <c r="I60" s="3"/>
      <c r="J60" s="3"/>
      <c r="K60" s="3"/>
      <c r="L60" s="3"/>
      <c r="M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</row>
    <row r="61" spans="1:39" x14ac:dyDescent="0.25">
      <c r="A61" s="3">
        <v>7.259999999999998</v>
      </c>
      <c r="B61" s="3"/>
      <c r="C61" s="3">
        <f t="shared" si="2"/>
        <v>4.1628715364451612</v>
      </c>
      <c r="D61" s="3"/>
      <c r="E61" s="3"/>
      <c r="F61" s="3"/>
      <c r="G61" s="3"/>
      <c r="H61" s="3"/>
      <c r="I61" s="3"/>
      <c r="J61" s="3"/>
      <c r="K61" s="3"/>
      <c r="L61" s="3"/>
      <c r="M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</row>
    <row r="62" spans="1:39" x14ac:dyDescent="0.25">
      <c r="A62" s="3">
        <v>7.4799999999999978</v>
      </c>
      <c r="B62" s="3"/>
      <c r="C62" s="3">
        <f t="shared" si="2"/>
        <v>4.1280545715058947</v>
      </c>
      <c r="D62" s="3"/>
      <c r="E62" s="3"/>
      <c r="F62" s="3"/>
      <c r="G62" s="3"/>
      <c r="H62" s="3"/>
      <c r="I62" s="3"/>
      <c r="J62" s="3"/>
      <c r="K62" s="3"/>
      <c r="L62" s="3"/>
      <c r="M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</row>
    <row r="63" spans="1:39" x14ac:dyDescent="0.25">
      <c r="A63" s="3">
        <v>7.6999999999999975</v>
      </c>
      <c r="B63" s="3"/>
      <c r="C63" s="3">
        <f t="shared" si="2"/>
        <v>4.0935691164781662</v>
      </c>
      <c r="D63" s="3"/>
      <c r="E63" s="3"/>
      <c r="F63" s="3"/>
      <c r="G63" s="3"/>
      <c r="H63" s="3"/>
      <c r="I63" s="3"/>
      <c r="J63" s="3"/>
      <c r="K63" s="3"/>
      <c r="L63" s="3"/>
      <c r="M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</row>
    <row r="64" spans="1:39" x14ac:dyDescent="0.25">
      <c r="A64" s="3">
        <v>7.9199999999999973</v>
      </c>
      <c r="B64" s="3"/>
      <c r="C64" s="3">
        <f t="shared" si="2"/>
        <v>4.0594026738914364</v>
      </c>
      <c r="D64" s="3"/>
      <c r="E64" s="3"/>
      <c r="F64" s="3"/>
      <c r="G64" s="3"/>
      <c r="H64" s="3"/>
      <c r="I64" s="3"/>
      <c r="J64" s="3"/>
      <c r="K64" s="3"/>
      <c r="L64" s="3"/>
      <c r="M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</row>
    <row r="65" spans="1:39" x14ac:dyDescent="0.25">
      <c r="A65" s="3">
        <v>8.139999999999997</v>
      </c>
      <c r="B65" s="3"/>
      <c r="C65" s="3">
        <f t="shared" si="2"/>
        <v>4.0255435501477219</v>
      </c>
      <c r="D65" s="3"/>
      <c r="E65" s="3"/>
      <c r="F65" s="3"/>
      <c r="G65" s="3"/>
      <c r="H65" s="3"/>
      <c r="I65" s="3"/>
      <c r="J65" s="3"/>
      <c r="K65" s="3"/>
      <c r="L65" s="3"/>
      <c r="M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</row>
    <row r="66" spans="1:39" x14ac:dyDescent="0.25">
      <c r="A66" s="3">
        <v>8.3599999999999977</v>
      </c>
      <c r="B66" s="3"/>
      <c r="C66" s="3">
        <f t="shared" si="2"/>
        <v>3.9919807835599022</v>
      </c>
      <c r="D66" s="3"/>
      <c r="E66" s="3"/>
      <c r="F66" s="3"/>
      <c r="G66" s="3"/>
      <c r="H66" s="3"/>
      <c r="I66" s="3"/>
      <c r="J66" s="3"/>
      <c r="K66" s="3"/>
      <c r="L66" s="3"/>
      <c r="M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</row>
    <row r="67" spans="1:39" x14ac:dyDescent="0.25">
      <c r="A67" s="3">
        <v>8.5799999999999983</v>
      </c>
      <c r="B67" s="3"/>
      <c r="C67" s="3">
        <f t="shared" si="2"/>
        <v>3.9587040805503615</v>
      </c>
      <c r="D67" s="3"/>
      <c r="E67" s="3"/>
      <c r="F67" s="3"/>
      <c r="G67" s="3"/>
      <c r="H67" s="3"/>
      <c r="I67" s="3"/>
      <c r="J67" s="3"/>
      <c r="K67" s="3"/>
      <c r="L67" s="3"/>
      <c r="M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</row>
    <row r="68" spans="1:39" x14ac:dyDescent="0.25">
      <c r="A68" s="3">
        <v>8.7999999999999989</v>
      </c>
      <c r="B68" s="3"/>
      <c r="C68" s="3">
        <f t="shared" si="2"/>
        <v>3.9257037588996448</v>
      </c>
      <c r="D68" s="3"/>
      <c r="E68" s="3"/>
      <c r="F68" s="3"/>
      <c r="G68" s="3"/>
      <c r="H68" s="3"/>
      <c r="I68" s="3"/>
      <c r="J68" s="3"/>
      <c r="K68" s="3"/>
      <c r="L68" s="3"/>
      <c r="M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</row>
    <row r="69" spans="1:39" x14ac:dyDescent="0.25">
      <c r="A69" s="3">
        <v>9.02</v>
      </c>
      <c r="B69" s="3"/>
      <c r="C69" s="3">
        <f t="shared" si="2"/>
        <v>3.8929706971098148</v>
      </c>
      <c r="D69" s="3"/>
      <c r="E69" s="3"/>
      <c r="F69" s="3"/>
      <c r="G69" s="3"/>
      <c r="H69" s="3"/>
      <c r="I69" s="3"/>
      <c r="J69" s="3"/>
      <c r="K69" s="3"/>
      <c r="L69" s="3"/>
      <c r="M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</row>
    <row r="70" spans="1:39" x14ac:dyDescent="0.25">
      <c r="A70" s="3">
        <v>9.24</v>
      </c>
      <c r="B70" s="3"/>
      <c r="C70" s="3">
        <f t="shared" si="2"/>
        <v>3.8604962890910075</v>
      </c>
      <c r="D70" s="3"/>
      <c r="E70" s="3"/>
      <c r="F70" s="3"/>
      <c r="G70" s="3"/>
      <c r="H70" s="3"/>
      <c r="I70" s="3"/>
      <c r="J70" s="3"/>
      <c r="K70" s="3"/>
      <c r="L70" s="3"/>
      <c r="M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</row>
    <row r="71" spans="1:39" x14ac:dyDescent="0.25">
      <c r="A71" s="3">
        <v>9.4600000000000009</v>
      </c>
      <c r="B71" s="3"/>
      <c r="C71" s="3">
        <f t="shared" si="2"/>
        <v>3.8282724034984863</v>
      </c>
      <c r="D71" s="3"/>
      <c r="E71" s="3"/>
      <c r="F71" s="3"/>
      <c r="G71" s="3"/>
      <c r="H71" s="3"/>
      <c r="I71" s="3"/>
      <c r="J71" s="3"/>
      <c r="K71" s="3"/>
      <c r="L71" s="3"/>
      <c r="M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</row>
    <row r="72" spans="1:39" x14ac:dyDescent="0.25">
      <c r="A72" s="3">
        <v>9.6800000000000015</v>
      </c>
      <c r="B72" s="3"/>
      <c r="C72" s="3">
        <f t="shared" si="2"/>
        <v>3.7962913471461617</v>
      </c>
      <c r="D72" s="3"/>
      <c r="E72" s="3"/>
      <c r="F72" s="3"/>
      <c r="G72" s="3"/>
      <c r="H72" s="3"/>
      <c r="I72" s="3"/>
      <c r="J72" s="3"/>
      <c r="K72" s="3"/>
      <c r="L72" s="3"/>
      <c r="M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</row>
    <row r="73" spans="1:39" x14ac:dyDescent="0.25">
      <c r="A73" s="3">
        <v>9.9000000000000021</v>
      </c>
      <c r="B73" s="3"/>
      <c r="C73" s="3">
        <f t="shared" si="2"/>
        <v>3.7645458320047713</v>
      </c>
      <c r="D73" s="3"/>
      <c r="E73" s="3"/>
      <c r="F73" s="3"/>
      <c r="G73" s="3"/>
      <c r="H73" s="3"/>
      <c r="I73" s="3"/>
      <c r="J73" s="3"/>
      <c r="K73" s="3"/>
      <c r="L73" s="3"/>
      <c r="M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</row>
    <row r="74" spans="1:39" x14ac:dyDescent="0.25">
      <c r="A74" s="3">
        <v>10.120000000000003</v>
      </c>
      <c r="B74" s="3"/>
      <c r="C74" s="3">
        <f t="shared" si="2"/>
        <v>3.7330289453618661</v>
      </c>
      <c r="D74" s="3"/>
      <c r="E74" s="3"/>
      <c r="F74" s="3"/>
      <c r="G74" s="3"/>
      <c r="H74" s="3"/>
      <c r="I74" s="3"/>
      <c r="J74" s="3"/>
      <c r="K74" s="3"/>
      <c r="L74" s="3"/>
      <c r="M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</row>
    <row r="75" spans="1:39" x14ac:dyDescent="0.25">
      <c r="A75" s="3">
        <v>10.340000000000003</v>
      </c>
      <c r="B75" s="3"/>
      <c r="C75" s="3">
        <f t="shared" si="2"/>
        <v>3.7017341227786908</v>
      </c>
      <c r="D75" s="3"/>
      <c r="E75" s="3"/>
      <c r="F75" s="3"/>
      <c r="G75" s="3"/>
      <c r="H75" s="3"/>
      <c r="I75" s="3"/>
      <c r="J75" s="3"/>
      <c r="K75" s="3"/>
      <c r="L75" s="3"/>
      <c r="M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</row>
    <row r="76" spans="1:39" x14ac:dyDescent="0.25">
      <c r="A76" s="3">
        <v>10.560000000000004</v>
      </c>
      <c r="B76" s="3"/>
      <c r="C76" s="3">
        <f t="shared" si="2"/>
        <v>3.6706551235280296</v>
      </c>
      <c r="D76" s="3"/>
      <c r="E76" s="3"/>
      <c r="F76" s="3"/>
      <c r="G76" s="3"/>
      <c r="H76" s="3"/>
      <c r="I76" s="3"/>
      <c r="J76" s="3"/>
      <c r="K76" s="3"/>
      <c r="L76" s="3"/>
      <c r="M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</row>
    <row r="77" spans="1:39" x14ac:dyDescent="0.25">
      <c r="A77" s="3">
        <v>10.780000000000005</v>
      </c>
      <c r="B77" s="3"/>
      <c r="C77" s="3">
        <f t="shared" si="2"/>
        <v>3.6397860082385849</v>
      </c>
      <c r="D77" s="3"/>
      <c r="E77" s="3"/>
      <c r="F77" s="3"/>
      <c r="G77" s="3"/>
      <c r="H77" s="3"/>
      <c r="I77" s="3"/>
      <c r="J77" s="3"/>
      <c r="K77" s="3"/>
      <c r="L77" s="3"/>
      <c r="M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</row>
    <row r="78" spans="1:39" x14ac:dyDescent="0.25">
      <c r="A78" s="3">
        <v>11.000000000000005</v>
      </c>
      <c r="B78" s="3"/>
      <c r="C78" s="3">
        <f t="shared" si="2"/>
        <v>3.6091211185068</v>
      </c>
      <c r="D78" s="3"/>
      <c r="E78" s="3"/>
      <c r="F78" s="3"/>
      <c r="G78" s="3"/>
      <c r="H78" s="3"/>
      <c r="I78" s="3"/>
      <c r="J78" s="3"/>
      <c r="K78" s="3"/>
      <c r="L78" s="3"/>
      <c r="M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</row>
    <row r="79" spans="1:39" x14ac:dyDescent="0.25">
      <c r="A79" s="3">
        <v>11.220000000000006</v>
      </c>
      <c r="B79" s="3"/>
      <c r="C79" s="3">
        <f t="shared" si="2"/>
        <v>3.578655058267167</v>
      </c>
      <c r="D79" s="3"/>
      <c r="E79" s="3"/>
      <c r="F79" s="3"/>
      <c r="G79" s="3"/>
      <c r="H79" s="3"/>
      <c r="I79" s="3"/>
      <c r="J79" s="3"/>
      <c r="K79" s="3"/>
      <c r="L79" s="3"/>
      <c r="M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</row>
    <row r="80" spans="1:39" x14ac:dyDescent="0.25">
      <c r="A80" s="3">
        <v>11.440000000000007</v>
      </c>
      <c r="B80" s="3"/>
      <c r="C80" s="3">
        <f t="shared" si="2"/>
        <v>3.5483826767379458</v>
      </c>
      <c r="D80" s="3"/>
      <c r="E80" s="3"/>
      <c r="F80" s="3"/>
      <c r="G80" s="3"/>
      <c r="H80" s="3"/>
      <c r="I80" s="3"/>
      <c r="J80" s="3"/>
      <c r="K80" s="3"/>
      <c r="L80" s="3"/>
      <c r="M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</row>
    <row r="81" spans="1:39" x14ac:dyDescent="0.25">
      <c r="A81" s="3">
        <v>11.660000000000007</v>
      </c>
      <c r="B81" s="3"/>
      <c r="C81" s="3">
        <f t="shared" si="2"/>
        <v>3.5182990527813884</v>
      </c>
      <c r="D81" s="3"/>
      <c r="E81" s="3"/>
      <c r="F81" s="3"/>
      <c r="G81" s="3"/>
      <c r="H81" s="3"/>
      <c r="I81" s="3"/>
      <c r="J81" s="3"/>
      <c r="K81" s="3"/>
      <c r="L81" s="3"/>
      <c r="M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</row>
    <row r="82" spans="1:39" x14ac:dyDescent="0.25">
      <c r="A82" s="3">
        <v>11.880000000000008</v>
      </c>
      <c r="B82" s="3"/>
      <c r="C82" s="3">
        <f t="shared" si="2"/>
        <v>3.4883994805367422</v>
      </c>
      <c r="D82" s="3"/>
      <c r="E82" s="3"/>
      <c r="F82" s="3"/>
      <c r="G82" s="3"/>
      <c r="H82" s="3"/>
      <c r="I82" s="3"/>
      <c r="J82" s="3"/>
      <c r="K82" s="3"/>
      <c r="L82" s="3"/>
      <c r="M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</row>
    <row r="83" spans="1:39" x14ac:dyDescent="0.25">
      <c r="A83" s="3">
        <v>12.100000000000009</v>
      </c>
      <c r="B83" s="3"/>
      <c r="C83" s="3">
        <f t="shared" si="2"/>
        <v>3.4586794562008532</v>
      </c>
      <c r="D83" s="3"/>
      <c r="E83" s="3"/>
      <c r="F83" s="3"/>
      <c r="G83" s="3"/>
      <c r="H83" s="3"/>
      <c r="I83" s="3"/>
      <c r="J83" s="3"/>
      <c r="K83" s="3"/>
      <c r="L83" s="3"/>
      <c r="M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</row>
    <row r="84" spans="1:39" x14ac:dyDescent="0.25">
      <c r="A84" s="3">
        <v>12.320000000000009</v>
      </c>
      <c r="B84" s="3"/>
      <c r="C84" s="3">
        <f t="shared" si="2"/>
        <v>3.4291346658455502</v>
      </c>
      <c r="D84" s="3"/>
      <c r="E84" s="3"/>
      <c r="F84" s="3"/>
      <c r="G84" s="3"/>
      <c r="H84" s="3"/>
      <c r="I84" s="3"/>
      <c r="J84" s="3"/>
      <c r="K84" s="3"/>
      <c r="L84" s="3"/>
      <c r="M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</row>
    <row r="85" spans="1:39" x14ac:dyDescent="0.25">
      <c r="A85" s="3">
        <v>12.54000000000001</v>
      </c>
      <c r="B85" s="3"/>
      <c r="C85" s="3">
        <f t="shared" si="2"/>
        <v>3.3997609741734669</v>
      </c>
      <c r="D85" s="3"/>
      <c r="E85" s="3"/>
      <c r="F85" s="3"/>
      <c r="G85" s="3"/>
      <c r="H85" s="3"/>
      <c r="I85" s="3"/>
      <c r="J85" s="3"/>
      <c r="K85" s="3"/>
      <c r="L85" s="3"/>
      <c r="M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</row>
    <row r="86" spans="1:39" x14ac:dyDescent="0.25">
      <c r="A86" s="3">
        <v>12.76000000000001</v>
      </c>
      <c r="B86" s="3"/>
      <c r="C86" s="3">
        <f t="shared" si="2"/>
        <v>3.3705544141248693</v>
      </c>
      <c r="D86" s="3"/>
      <c r="E86" s="3"/>
      <c r="F86" s="3"/>
      <c r="G86" s="3"/>
      <c r="H86" s="3"/>
      <c r="I86" s="3"/>
      <c r="J86" s="3"/>
      <c r="K86" s="3"/>
      <c r="L86" s="3"/>
      <c r="M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</row>
    <row r="87" spans="1:39" x14ac:dyDescent="0.25">
      <c r="A87" s="3">
        <v>12.980000000000011</v>
      </c>
      <c r="B87" s="3"/>
      <c r="C87" s="3">
        <f t="shared" si="2"/>
        <v>3.341511177257531</v>
      </c>
      <c r="D87" s="3"/>
      <c r="E87" s="3"/>
      <c r="F87" s="3"/>
      <c r="G87" s="3"/>
      <c r="H87" s="3"/>
      <c r="I87" s="3"/>
      <c r="J87" s="3"/>
      <c r="K87" s="3"/>
      <c r="L87" s="3"/>
      <c r="M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</row>
    <row r="88" spans="1:39" x14ac:dyDescent="0.25">
      <c r="A88" s="3">
        <v>13.200000000000012</v>
      </c>
      <c r="B88" s="3"/>
      <c r="C88" s="3">
        <f t="shared" si="2"/>
        <v>3.3126276048300771</v>
      </c>
      <c r="D88" s="3"/>
      <c r="E88" s="3"/>
      <c r="F88" s="3"/>
      <c r="G88" s="3"/>
      <c r="H88" s="3"/>
      <c r="I88" s="3"/>
      <c r="J88" s="3"/>
      <c r="K88" s="3"/>
      <c r="L88" s="3"/>
      <c r="M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</row>
    <row r="89" spans="1:39" x14ac:dyDescent="0.25">
      <c r="A89" s="3">
        <v>13.420000000000012</v>
      </c>
      <c r="B89" s="3"/>
      <c r="C89" s="3">
        <f t="shared" si="2"/>
        <v>3.2839001795264973</v>
      </c>
      <c r="D89" s="3"/>
      <c r="E89" s="3"/>
      <c r="F89" s="3"/>
      <c r="G89" s="3"/>
      <c r="H89" s="3"/>
      <c r="I89" s="3"/>
      <c r="J89" s="3"/>
      <c r="K89" s="3"/>
      <c r="L89" s="3"/>
      <c r="M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</row>
    <row r="90" spans="1:39" x14ac:dyDescent="0.25">
      <c r="A90" s="3">
        <v>13.640000000000013</v>
      </c>
      <c r="B90" s="3"/>
      <c r="C90" s="3">
        <f t="shared" si="2"/>
        <v>3.2553255177659932</v>
      </c>
      <c r="D90" s="3"/>
      <c r="E90" s="3"/>
      <c r="F90" s="3"/>
      <c r="G90" s="3"/>
      <c r="H90" s="3"/>
      <c r="I90" s="3"/>
      <c r="J90" s="3"/>
      <c r="K90" s="3"/>
      <c r="L90" s="3"/>
      <c r="M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</row>
    <row r="91" spans="1:39" x14ac:dyDescent="0.25">
      <c r="A91" s="3">
        <v>13.860000000000014</v>
      </c>
      <c r="B91" s="3"/>
      <c r="C91" s="3">
        <f t="shared" si="2"/>
        <v>3.2269003625480179</v>
      </c>
      <c r="D91" s="3"/>
      <c r="E91" s="3"/>
      <c r="F91" s="3"/>
      <c r="G91" s="3"/>
      <c r="H91" s="3"/>
      <c r="I91" s="3"/>
      <c r="J91" s="3"/>
      <c r="K91" s="3"/>
      <c r="L91" s="3"/>
      <c r="M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</row>
    <row r="92" spans="1:39" x14ac:dyDescent="0.25">
      <c r="A92" s="3">
        <v>14.080000000000014</v>
      </c>
      <c r="B92" s="3"/>
      <c r="C92" s="3">
        <f t="shared" si="2"/>
        <v>3.1986215767873518</v>
      </c>
      <c r="D92" s="3"/>
      <c r="E92" s="3"/>
      <c r="F92" s="3"/>
      <c r="G92" s="3"/>
      <c r="H92" s="3"/>
      <c r="I92" s="3"/>
      <c r="J92" s="3"/>
      <c r="K92" s="3"/>
      <c r="L92" s="3"/>
      <c r="M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</row>
    <row r="93" spans="1:39" x14ac:dyDescent="0.25">
      <c r="A93" s="3">
        <v>14.300000000000015</v>
      </c>
      <c r="B93" s="3"/>
      <c r="C93" s="3">
        <f t="shared" ref="C93:C128" si="3" xml:space="preserve"> $G$5 - ((A93 /$G$3)^$G$4)</f>
        <v>3.1704861370985604</v>
      </c>
      <c r="D93" s="3"/>
      <c r="E93" s="3"/>
      <c r="F93" s="3"/>
      <c r="G93" s="3"/>
      <c r="H93" s="3"/>
      <c r="I93" s="3"/>
      <c r="J93" s="3"/>
      <c r="K93" s="3"/>
      <c r="L93" s="3"/>
      <c r="M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</row>
    <row r="94" spans="1:39" x14ac:dyDescent="0.25">
      <c r="A94" s="3">
        <v>14.520000000000016</v>
      </c>
      <c r="B94" s="3"/>
      <c r="C94" s="3">
        <f t="shared" si="3"/>
        <v>3.1424911279930785</v>
      </c>
      <c r="D94" s="3"/>
      <c r="E94" s="3"/>
      <c r="F94" s="3"/>
      <c r="G94" s="3"/>
      <c r="H94" s="3"/>
      <c r="I94" s="3"/>
      <c r="J94" s="3"/>
      <c r="K94" s="3"/>
      <c r="L94" s="3"/>
      <c r="M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</row>
    <row r="95" spans="1:39" x14ac:dyDescent="0.25">
      <c r="A95" s="3">
        <v>14.740000000000016</v>
      </c>
      <c r="B95" s="3"/>
      <c r="C95" s="3">
        <f t="shared" si="3"/>
        <v>3.1146337364557204</v>
      </c>
      <c r="D95" s="3"/>
      <c r="E95" s="3"/>
      <c r="F95" s="3"/>
      <c r="G95" s="3"/>
      <c r="H95" s="3"/>
      <c r="I95" s="3"/>
      <c r="J95" s="3"/>
      <c r="K95" s="3"/>
      <c r="L95" s="3"/>
      <c r="M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</row>
    <row r="96" spans="1:39" x14ac:dyDescent="0.25">
      <c r="A96" s="3">
        <v>14.960000000000017</v>
      </c>
      <c r="B96" s="3"/>
      <c r="C96" s="3">
        <f t="shared" si="3"/>
        <v>3.0869112468705149</v>
      </c>
      <c r="D96" s="3"/>
      <c r="E96" s="3"/>
      <c r="F96" s="3"/>
      <c r="G96" s="3"/>
      <c r="H96" s="3"/>
      <c r="I96" s="3"/>
      <c r="J96" s="3"/>
      <c r="K96" s="3"/>
      <c r="L96" s="3"/>
      <c r="M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</row>
    <row r="97" spans="1:39" x14ac:dyDescent="0.25">
      <c r="A97" s="3">
        <v>15.180000000000017</v>
      </c>
      <c r="B97" s="3"/>
      <c r="C97" s="3">
        <f t="shared" si="3"/>
        <v>3.0593210362685728</v>
      </c>
      <c r="D97" s="3"/>
      <c r="E97" s="3"/>
      <c r="F97" s="3"/>
      <c r="G97" s="3"/>
      <c r="H97" s="3"/>
      <c r="I97" s="3"/>
      <c r="J97" s="3"/>
      <c r="K97" s="3"/>
      <c r="L97" s="3"/>
      <c r="M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</row>
    <row r="98" spans="1:39" x14ac:dyDescent="0.25">
      <c r="A98" s="3">
        <v>15.400000000000018</v>
      </c>
      <c r="B98" s="3"/>
      <c r="C98" s="3">
        <f t="shared" si="3"/>
        <v>3.0318605698731917</v>
      </c>
      <c r="D98" s="3"/>
      <c r="E98" s="3"/>
      <c r="F98" s="3"/>
      <c r="G98" s="3"/>
      <c r="H98" s="3"/>
      <c r="I98" s="3"/>
      <c r="J98" s="3"/>
      <c r="K98" s="3"/>
      <c r="L98" s="3"/>
      <c r="M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</row>
    <row r="99" spans="1:39" x14ac:dyDescent="0.25">
      <c r="A99" s="3">
        <v>15.620000000000019</v>
      </c>
      <c r="B99" s="3"/>
      <c r="C99" s="3">
        <f t="shared" si="3"/>
        <v>3.0045273969196171</v>
      </c>
      <c r="D99" s="3"/>
      <c r="E99" s="3"/>
      <c r="F99" s="3"/>
      <c r="G99" s="3"/>
      <c r="H99" s="3"/>
      <c r="I99" s="3"/>
      <c r="J99" s="3"/>
      <c r="K99" s="3"/>
      <c r="L99" s="3"/>
      <c r="M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</row>
    <row r="100" spans="1:39" x14ac:dyDescent="0.25">
      <c r="A100" s="3">
        <v>15.840000000000019</v>
      </c>
      <c r="B100" s="3"/>
      <c r="C100" s="3">
        <f t="shared" si="3"/>
        <v>2.9773191467289322</v>
      </c>
      <c r="D100" s="3"/>
      <c r="E100" s="3"/>
      <c r="F100" s="3"/>
      <c r="G100" s="3"/>
      <c r="H100" s="3"/>
      <c r="I100" s="3"/>
      <c r="J100" s="3"/>
      <c r="K100" s="3"/>
      <c r="L100" s="3"/>
      <c r="M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</row>
    <row r="101" spans="1:39" x14ac:dyDescent="0.25">
      <c r="A101" s="3">
        <v>16.06000000000002</v>
      </c>
      <c r="B101" s="3"/>
      <c r="C101" s="3">
        <f t="shared" si="3"/>
        <v>2.9502335250172811</v>
      </c>
      <c r="D101" s="3"/>
      <c r="E101" s="3"/>
      <c r="F101" s="3"/>
      <c r="G101" s="3"/>
      <c r="H101" s="3"/>
      <c r="I101" s="3"/>
      <c r="J101" s="3"/>
      <c r="K101" s="3"/>
      <c r="L101" s="3"/>
      <c r="M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</row>
    <row r="102" spans="1:39" x14ac:dyDescent="0.25">
      <c r="A102" s="3">
        <v>16.280000000000019</v>
      </c>
      <c r="B102" s="3"/>
      <c r="C102" s="3">
        <f t="shared" si="3"/>
        <v>2.9232683104233379</v>
      </c>
      <c r="D102" s="3"/>
      <c r="E102" s="3"/>
      <c r="F102" s="3"/>
      <c r="G102" s="3"/>
      <c r="H102" s="3"/>
      <c r="I102" s="3"/>
      <c r="J102" s="3"/>
      <c r="K102" s="3"/>
      <c r="L102" s="3"/>
      <c r="M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</row>
    <row r="103" spans="1:39" x14ac:dyDescent="0.25">
      <c r="A103" s="3">
        <v>16.500000000000018</v>
      </c>
      <c r="B103" s="3"/>
      <c r="C103" s="3">
        <f t="shared" si="3"/>
        <v>2.8964213512383044</v>
      </c>
      <c r="D103" s="3"/>
      <c r="E103" s="3"/>
      <c r="F103" s="3"/>
      <c r="G103" s="3"/>
      <c r="H103" s="3"/>
      <c r="I103" s="3"/>
      <c r="J103" s="3"/>
      <c r="K103" s="3"/>
      <c r="L103" s="3"/>
      <c r="M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</row>
    <row r="104" spans="1:39" x14ac:dyDescent="0.25">
      <c r="A104" s="3">
        <v>16.720000000000017</v>
      </c>
      <c r="B104" s="3"/>
      <c r="C104" s="3">
        <f t="shared" si="3"/>
        <v>2.8696905623241182</v>
      </c>
      <c r="D104" s="3"/>
      <c r="E104" s="3"/>
      <c r="F104" s="3"/>
      <c r="G104" s="3"/>
      <c r="H104" s="3"/>
      <c r="I104" s="3"/>
      <c r="J104" s="3"/>
      <c r="K104" s="3"/>
      <c r="L104" s="3"/>
      <c r="M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</row>
    <row r="105" spans="1:39" x14ac:dyDescent="0.25">
      <c r="A105" s="3">
        <v>16.940000000000015</v>
      </c>
      <c r="B105" s="3"/>
      <c r="C105" s="3">
        <f t="shared" si="3"/>
        <v>2.8430739222066941</v>
      </c>
      <c r="D105" s="3"/>
      <c r="E105" s="3"/>
      <c r="F105" s="3"/>
      <c r="G105" s="3"/>
      <c r="H105" s="3"/>
      <c r="I105" s="3"/>
      <c r="J105" s="3"/>
      <c r="K105" s="3"/>
      <c r="L105" s="3"/>
      <c r="M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</row>
    <row r="106" spans="1:39" x14ac:dyDescent="0.25">
      <c r="A106" s="3">
        <v>17.160000000000014</v>
      </c>
      <c r="B106" s="3"/>
      <c r="C106" s="3">
        <f t="shared" si="3"/>
        <v>2.8165694703321149</v>
      </c>
      <c r="D106" s="3"/>
      <c r="E106" s="3"/>
      <c r="F106" s="3"/>
      <c r="G106" s="3"/>
      <c r="H106" s="3"/>
      <c r="I106" s="3"/>
      <c r="J106" s="3"/>
      <c r="K106" s="3"/>
      <c r="L106" s="3"/>
      <c r="M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</row>
    <row r="107" spans="1:39" x14ac:dyDescent="0.25">
      <c r="A107" s="3">
        <v>17.380000000000013</v>
      </c>
      <c r="B107" s="3"/>
      <c r="C107" s="3">
        <f t="shared" si="3"/>
        <v>2.7901753044746824</v>
      </c>
      <c r="D107" s="3"/>
      <c r="E107" s="3"/>
      <c r="F107" s="3"/>
      <c r="G107" s="3"/>
      <c r="H107" s="3"/>
      <c r="I107" s="3"/>
      <c r="J107" s="3"/>
      <c r="K107" s="3"/>
      <c r="L107" s="3"/>
      <c r="M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</row>
    <row r="108" spans="1:39" x14ac:dyDescent="0.25">
      <c r="A108" s="3">
        <v>17.600000000000012</v>
      </c>
      <c r="B108" s="3"/>
      <c r="C108" s="3">
        <f t="shared" si="3"/>
        <v>2.7638895782865944</v>
      </c>
      <c r="D108" s="3"/>
      <c r="E108" s="3"/>
      <c r="F108" s="3"/>
      <c r="G108" s="3"/>
      <c r="H108" s="3"/>
      <c r="I108" s="3"/>
      <c r="J108" s="3"/>
      <c r="K108" s="3"/>
      <c r="L108" s="3"/>
      <c r="M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</row>
    <row r="109" spans="1:39" x14ac:dyDescent="0.25">
      <c r="A109" s="3">
        <v>17.820000000000011</v>
      </c>
      <c r="B109" s="3"/>
      <c r="C109" s="3">
        <f t="shared" si="3"/>
        <v>2.737710498979852</v>
      </c>
      <c r="D109" s="3"/>
      <c r="E109" s="3"/>
      <c r="F109" s="3"/>
      <c r="G109" s="3"/>
      <c r="H109" s="3"/>
      <c r="I109" s="3"/>
      <c r="J109" s="3"/>
      <c r="K109" s="3"/>
      <c r="L109" s="3"/>
      <c r="M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</row>
    <row r="110" spans="1:39" x14ac:dyDescent="0.25">
      <c r="A110" s="3">
        <v>18.04000000000001</v>
      </c>
      <c r="B110" s="3"/>
      <c r="C110" s="3">
        <f t="shared" si="3"/>
        <v>2.7116363251317086</v>
      </c>
      <c r="D110" s="3"/>
      <c r="E110" s="3"/>
      <c r="F110" s="3"/>
      <c r="G110" s="3"/>
      <c r="H110" s="3"/>
      <c r="I110" s="3"/>
      <c r="J110" s="3"/>
      <c r="K110" s="3"/>
      <c r="L110" s="3"/>
      <c r="M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</row>
    <row r="111" spans="1:39" x14ac:dyDescent="0.25">
      <c r="A111" s="3">
        <v>18.260000000000009</v>
      </c>
      <c r="B111" s="3"/>
      <c r="C111" s="3">
        <f t="shared" si="3"/>
        <v>2.6856653646056663</v>
      </c>
      <c r="D111" s="3"/>
      <c r="E111" s="3"/>
      <c r="F111" s="3"/>
      <c r="G111" s="3"/>
      <c r="H111" s="3"/>
      <c r="I111" s="3"/>
      <c r="J111" s="3"/>
      <c r="K111" s="3"/>
      <c r="L111" s="3"/>
      <c r="M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</row>
    <row r="112" spans="1:39" x14ac:dyDescent="0.25">
      <c r="A112" s="3">
        <v>18.480000000000008</v>
      </c>
      <c r="B112" s="3"/>
      <c r="C112" s="3">
        <f t="shared" si="3"/>
        <v>2.6597959725806057</v>
      </c>
      <c r="D112" s="3"/>
      <c r="E112" s="3"/>
      <c r="F112" s="3"/>
      <c r="G112" s="3"/>
      <c r="H112" s="3"/>
      <c r="I112" s="3"/>
      <c r="J112" s="3"/>
      <c r="K112" s="3"/>
      <c r="L112" s="3"/>
      <c r="M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</row>
    <row r="113" spans="1:39" x14ac:dyDescent="0.25">
      <c r="A113" s="3">
        <v>18.700000000000006</v>
      </c>
      <c r="B113" s="3"/>
      <c r="C113" s="3">
        <f t="shared" si="3"/>
        <v>2.6340265496812081</v>
      </c>
      <c r="D113" s="3"/>
      <c r="E113" s="3"/>
      <c r="F113" s="3"/>
      <c r="G113" s="3"/>
      <c r="H113" s="3"/>
      <c r="I113" s="3"/>
      <c r="J113" s="3"/>
      <c r="K113" s="3"/>
      <c r="L113" s="3"/>
      <c r="M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</row>
    <row r="114" spans="1:39" x14ac:dyDescent="0.25">
      <c r="A114" s="3">
        <v>18.920000000000005</v>
      </c>
      <c r="B114" s="3"/>
      <c r="C114" s="3">
        <f t="shared" si="3"/>
        <v>2.6083555402033549</v>
      </c>
      <c r="D114" s="3"/>
      <c r="E114" s="3"/>
      <c r="F114" s="3"/>
      <c r="G114" s="3"/>
      <c r="H114" s="3"/>
      <c r="I114" s="3"/>
      <c r="J114" s="3"/>
      <c r="K114" s="3"/>
      <c r="L114" s="3"/>
      <c r="M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</row>
    <row r="115" spans="1:39" x14ac:dyDescent="0.25">
      <c r="A115" s="3">
        <v>19.140000000000004</v>
      </c>
      <c r="B115" s="3"/>
      <c r="C115" s="3">
        <f t="shared" si="3"/>
        <v>2.582781430428601</v>
      </c>
      <c r="D115" s="3"/>
      <c r="E115" s="3"/>
      <c r="F115" s="3"/>
      <c r="G115" s="3"/>
      <c r="H115" s="3"/>
      <c r="I115" s="3"/>
      <c r="J115" s="3"/>
      <c r="K115" s="3"/>
      <c r="L115" s="3"/>
      <c r="M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</row>
    <row r="116" spans="1:39" x14ac:dyDescent="0.25">
      <c r="A116" s="3">
        <v>19.360000000000003</v>
      </c>
      <c r="B116" s="3"/>
      <c r="C116" s="3">
        <f t="shared" si="3"/>
        <v>2.5573027470223049</v>
      </c>
      <c r="D116" s="3"/>
      <c r="E116" s="3"/>
      <c r="F116" s="3"/>
      <c r="G116" s="3"/>
      <c r="H116" s="3"/>
      <c r="I116" s="3"/>
      <c r="J116" s="3"/>
      <c r="K116" s="3"/>
      <c r="L116" s="3"/>
      <c r="M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</row>
    <row r="117" spans="1:39" x14ac:dyDescent="0.25">
      <c r="A117" s="3">
        <v>19.580000000000002</v>
      </c>
      <c r="B117" s="3"/>
      <c r="C117" s="3">
        <f t="shared" si="3"/>
        <v>2.5319180555103578</v>
      </c>
      <c r="D117" s="3"/>
      <c r="E117" s="3"/>
      <c r="F117" s="3"/>
      <c r="G117" s="3"/>
      <c r="H117" s="3"/>
      <c r="I117" s="3"/>
      <c r="J117" s="3"/>
      <c r="K117" s="3"/>
      <c r="L117" s="3"/>
      <c r="M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</row>
    <row r="118" spans="1:39" x14ac:dyDescent="0.25">
      <c r="A118" s="3">
        <v>19.8</v>
      </c>
      <c r="B118" s="3"/>
      <c r="C118" s="3">
        <f t="shared" si="3"/>
        <v>2.5066259588298019</v>
      </c>
      <c r="D118" s="3"/>
      <c r="E118" s="3"/>
      <c r="F118" s="3"/>
      <c r="G118" s="3"/>
      <c r="H118" s="3"/>
      <c r="I118" s="3"/>
      <c r="J118" s="3"/>
      <c r="K118" s="3"/>
      <c r="L118" s="3"/>
      <c r="M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</row>
    <row r="119" spans="1:39" x14ac:dyDescent="0.25">
      <c r="A119" s="3">
        <v>20.02</v>
      </c>
      <c r="B119" s="3"/>
      <c r="C119" s="3">
        <f t="shared" si="3"/>
        <v>2.481425095948993</v>
      </c>
      <c r="D119" s="3"/>
      <c r="E119" s="3"/>
      <c r="F119" s="3"/>
      <c r="G119" s="3"/>
      <c r="H119" s="3"/>
      <c r="I119" s="3"/>
      <c r="J119" s="3"/>
      <c r="K119" s="3"/>
      <c r="L119" s="3"/>
      <c r="M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</row>
    <row r="120" spans="1:39" x14ac:dyDescent="0.25">
      <c r="A120" s="3">
        <v>20.239999999999998</v>
      </c>
      <c r="B120" s="3"/>
      <c r="C120" s="3">
        <f t="shared" si="3"/>
        <v>2.4563141405532338</v>
      </c>
      <c r="D120" s="3"/>
      <c r="E120" s="3"/>
      <c r="F120" s="3"/>
      <c r="G120" s="3"/>
      <c r="H120" s="3"/>
      <c r="I120" s="3"/>
      <c r="J120" s="3"/>
      <c r="K120" s="3"/>
      <c r="L120" s="3"/>
      <c r="M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</row>
    <row r="121" spans="1:39" x14ac:dyDescent="0.25">
      <c r="A121" s="3">
        <v>20.459999999999997</v>
      </c>
      <c r="B121" s="3"/>
      <c r="C121" s="3">
        <f t="shared" si="3"/>
        <v>2.4312917997920942</v>
      </c>
      <c r="D121" s="3"/>
      <c r="E121" s="3"/>
      <c r="F121" s="3"/>
      <c r="G121" s="3"/>
      <c r="H121" s="3"/>
      <c r="I121" s="3"/>
      <c r="J121" s="3"/>
      <c r="K121" s="3"/>
      <c r="L121" s="3"/>
      <c r="M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</row>
    <row r="122" spans="1:39" x14ac:dyDescent="0.25">
      <c r="A122" s="3">
        <v>20.679999999999996</v>
      </c>
      <c r="B122" s="3"/>
      <c r="C122" s="3">
        <f t="shared" si="3"/>
        <v>2.4063568130848951</v>
      </c>
      <c r="D122" s="3"/>
      <c r="E122" s="3"/>
      <c r="F122" s="3"/>
      <c r="G122" s="3"/>
      <c r="H122" s="3"/>
      <c r="I122" s="3"/>
      <c r="J122" s="3"/>
      <c r="K122" s="3"/>
      <c r="L122" s="3"/>
      <c r="M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</row>
    <row r="123" spans="1:39" x14ac:dyDescent="0.25">
      <c r="A123" s="3">
        <v>20.899999999999995</v>
      </c>
      <c r="B123" s="3"/>
      <c r="C123" s="3">
        <f t="shared" si="3"/>
        <v>2.3815079509810668</v>
      </c>
      <c r="D123" s="3"/>
      <c r="E123" s="3"/>
      <c r="F123" s="3"/>
      <c r="G123" s="3"/>
      <c r="H123" s="3"/>
      <c r="I123" s="3"/>
      <c r="J123" s="3"/>
      <c r="K123" s="3"/>
      <c r="L123" s="3"/>
      <c r="M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</row>
    <row r="124" spans="1:39" x14ac:dyDescent="0.25">
      <c r="A124" s="3">
        <v>21.119999999999994</v>
      </c>
      <c r="B124" s="3"/>
      <c r="C124" s="3">
        <f t="shared" si="3"/>
        <v>2.3567440140723099</v>
      </c>
      <c r="D124" s="3"/>
      <c r="E124" s="3"/>
      <c r="F124" s="3"/>
      <c r="G124" s="3"/>
      <c r="H124" s="3"/>
      <c r="I124" s="3"/>
      <c r="J124" s="3"/>
      <c r="K124" s="3"/>
      <c r="L124" s="3"/>
      <c r="M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</row>
    <row r="125" spans="1:39" x14ac:dyDescent="0.25">
      <c r="A125" s="3">
        <v>21.339999999999993</v>
      </c>
      <c r="B125" s="3"/>
      <c r="C125" s="3">
        <f t="shared" si="3"/>
        <v>2.332063831953687</v>
      </c>
      <c r="D125" s="3"/>
      <c r="E125" s="3"/>
      <c r="F125" s="3"/>
      <c r="G125" s="3"/>
      <c r="H125" s="3"/>
      <c r="I125" s="3"/>
      <c r="J125" s="3"/>
      <c r="K125" s="3"/>
      <c r="L125" s="3"/>
      <c r="M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</row>
    <row r="126" spans="1:39" x14ac:dyDescent="0.25">
      <c r="A126" s="3">
        <v>21.559999999999992</v>
      </c>
      <c r="B126" s="3"/>
      <c r="C126" s="3">
        <f t="shared" si="3"/>
        <v>2.3074662622309638</v>
      </c>
      <c r="D126" s="3"/>
      <c r="E126" s="3"/>
      <c r="F126" s="3"/>
      <c r="G126" s="3"/>
      <c r="H126" s="3"/>
      <c r="I126" s="3"/>
      <c r="J126" s="3"/>
      <c r="K126" s="3"/>
      <c r="L126" s="3"/>
      <c r="M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</row>
    <row r="127" spans="1:39" x14ac:dyDescent="0.25">
      <c r="A127" s="3">
        <v>21.77999999999999</v>
      </c>
      <c r="B127" s="3"/>
      <c r="C127" s="3">
        <f t="shared" si="3"/>
        <v>2.282950189571701</v>
      </c>
      <c r="D127" s="3"/>
      <c r="E127" s="3"/>
      <c r="F127" s="3"/>
      <c r="G127" s="3"/>
      <c r="H127" s="3"/>
      <c r="I127" s="3"/>
      <c r="J127" s="3"/>
      <c r="K127" s="3"/>
      <c r="L127" s="3"/>
      <c r="M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</row>
    <row r="128" spans="1:39" x14ac:dyDescent="0.25">
      <c r="A128" s="3">
        <v>21.999999999999989</v>
      </c>
      <c r="B128" s="3"/>
      <c r="C128" s="3">
        <f t="shared" si="3"/>
        <v>2.2585145247977274</v>
      </c>
      <c r="D128" s="3"/>
      <c r="E128" s="3"/>
      <c r="F128" s="3"/>
      <c r="G128" s="3"/>
      <c r="H128" s="3"/>
      <c r="I128" s="3"/>
      <c r="J128" s="3"/>
      <c r="K128" s="3"/>
      <c r="L128" s="3"/>
      <c r="M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</row>
  </sheetData>
  <mergeCells count="1">
    <mergeCell ref="F12:L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14</vt:i4>
      </vt:variant>
    </vt:vector>
  </HeadingPairs>
  <TitlesOfParts>
    <vt:vector size="14" baseType="lpstr">
      <vt:lpstr>Gradual Heating 70C All Data</vt:lpstr>
      <vt:lpstr>Water Bath 70C All Data</vt:lpstr>
      <vt:lpstr>12628 Un-chilled Coroller</vt:lpstr>
      <vt:lpstr>12628 Un-chilled</vt:lpstr>
      <vt:lpstr>12628 Pre-chilled Albert</vt:lpstr>
      <vt:lpstr>12628 Pre-chilled</vt:lpstr>
      <vt:lpstr>12662 Un-chilled Albert</vt:lpstr>
      <vt:lpstr>12662 Un-chilled</vt:lpstr>
      <vt:lpstr>12662PC_Weibull</vt:lpstr>
      <vt:lpstr>12662PC</vt:lpstr>
      <vt:lpstr>13126UC_Coroller</vt:lpstr>
      <vt:lpstr>13126UC</vt:lpstr>
      <vt:lpstr>13136UC_Albert</vt:lpstr>
      <vt:lpstr>13136UC</vt:lpstr>
    </vt:vector>
  </TitlesOfParts>
  <Company>The University of Liverpool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Matrices Gradual Heating 70C</dc:title>
  <dc:creator>trjones</dc:creator>
  <cp:lastModifiedBy>Ginn, Michael</cp:lastModifiedBy>
  <dcterms:created xsi:type="dcterms:W3CDTF">2013-07-30T14:41:19Z</dcterms:created>
  <dcterms:modified xsi:type="dcterms:W3CDTF">2016-11-01T18:20:05Z</dcterms:modified>
</cp:coreProperties>
</file>