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375" windowWidth="15480" windowHeight="11460" tabRatio="724"/>
  </bookViews>
  <sheets>
    <sheet name="All Data Extended" sheetId="30" r:id="rId1"/>
    <sheet name="All Data Standard" sheetId="31" r:id="rId2"/>
    <sheet name="12628E_Biphasic" sheetId="15" r:id="rId3"/>
    <sheet name="12628E" sheetId="10" r:id="rId4"/>
    <sheet name="12662_Biphasic" sheetId="8" r:id="rId5"/>
    <sheet name="12662" sheetId="5" r:id="rId6"/>
    <sheet name="12662E_Geeraerd_Tail" sheetId="18" r:id="rId7"/>
    <sheet name="12662E" sheetId="17" r:id="rId8"/>
    <sheet name="13136_Log_Linear" sheetId="29" r:id="rId9"/>
    <sheet name="13136" sheetId="22" r:id="rId10"/>
  </sheets>
  <definedNames>
    <definedName name="solver_adj" localSheetId="2" hidden="1">'12628E_Biphasic'!$G$2:$G$5</definedName>
    <definedName name="solver_adj" localSheetId="4" hidden="1">'12662_Biphasic'!$G$2:$G$5</definedName>
    <definedName name="solver_adj" localSheetId="6" hidden="1">'12662E_Geeraerd_Tail'!$G$2:$G$5</definedName>
    <definedName name="solver_adj" localSheetId="8" hidden="1">'13136_Log_Linear'!$G$2:$G$3</definedName>
    <definedName name="solver_cvg" localSheetId="2" hidden="1">0.0000000001</definedName>
    <definedName name="solver_cvg" localSheetId="4" hidden="1">0.0000000001</definedName>
    <definedName name="solver_cvg" localSheetId="6" hidden="1">0.0000000001</definedName>
    <definedName name="solver_cvg" localSheetId="8" hidden="1">0.0000000001</definedName>
    <definedName name="solver_drv" localSheetId="2" hidden="1">2</definedName>
    <definedName name="solver_drv" localSheetId="4" hidden="1">2</definedName>
    <definedName name="solver_drv" localSheetId="6" hidden="1">2</definedName>
    <definedName name="solver_drv" localSheetId="8" hidden="1">2</definedName>
    <definedName name="solver_est" localSheetId="2" hidden="1">2</definedName>
    <definedName name="solver_est" localSheetId="4" hidden="1">2</definedName>
    <definedName name="solver_est" localSheetId="6" hidden="1">2</definedName>
    <definedName name="solver_est" localSheetId="8" hidden="1">2</definedName>
    <definedName name="solver_itr" localSheetId="2" hidden="1">10000</definedName>
    <definedName name="solver_itr" localSheetId="4" hidden="1">10000</definedName>
    <definedName name="solver_itr" localSheetId="6" hidden="1">10000</definedName>
    <definedName name="solver_itr" localSheetId="8" hidden="1">10000</definedName>
    <definedName name="solver_lhs1" localSheetId="2" hidden="1">'12628E_Biphasic'!$G$4</definedName>
    <definedName name="solver_lhs1" localSheetId="4" hidden="1">'12662_Biphasic'!$G$4</definedName>
    <definedName name="solver_lhs1" localSheetId="6" hidden="1">'12662E_Geeraerd_Tail'!$G$3</definedName>
    <definedName name="solver_lhs2" localSheetId="2" hidden="1">'12628E_Biphasic'!$G$3</definedName>
    <definedName name="solver_lhs2" localSheetId="4" hidden="1">'12662_Biphasic'!$G$3</definedName>
    <definedName name="solver_lhs3" localSheetId="2" hidden="1">'12628E_Biphasic'!$G$3</definedName>
    <definedName name="solver_lhs3" localSheetId="4" hidden="1">'12662_Biphasic'!$G$3</definedName>
    <definedName name="solver_lhs4" localSheetId="2" hidden="1">'12628E_Biphasic'!$G$3</definedName>
    <definedName name="solver_lhs4" localSheetId="4" hidden="1">'12662_Biphasic'!$G$3</definedName>
    <definedName name="solver_lhs5" localSheetId="2" hidden="1">'12628E_Biphasic'!$G$4</definedName>
    <definedName name="solver_lhs5" localSheetId="4" hidden="1">'12662_Biphasic'!$G$4</definedName>
    <definedName name="solver_lin" localSheetId="2" hidden="1">2</definedName>
    <definedName name="solver_lin" localSheetId="4" hidden="1">2</definedName>
    <definedName name="solver_lin" localSheetId="6" hidden="1">2</definedName>
    <definedName name="solver_lin" localSheetId="8" hidden="1">2</definedName>
    <definedName name="solver_neg" localSheetId="2" hidden="1">2</definedName>
    <definedName name="solver_neg" localSheetId="4" hidden="1">2</definedName>
    <definedName name="solver_neg" localSheetId="6" hidden="1">2</definedName>
    <definedName name="solver_neg" localSheetId="8" hidden="1">2</definedName>
    <definedName name="solver_num" localSheetId="2" hidden="1">0</definedName>
    <definedName name="solver_num" localSheetId="4" hidden="1">0</definedName>
    <definedName name="solver_num" localSheetId="6" hidden="1">0</definedName>
    <definedName name="solver_nwt" localSheetId="2" hidden="1">2</definedName>
    <definedName name="solver_nwt" localSheetId="4" hidden="1">2</definedName>
    <definedName name="solver_nwt" localSheetId="6" hidden="1">2</definedName>
    <definedName name="solver_nwt" localSheetId="8" hidden="1">2</definedName>
    <definedName name="solver_opt" localSheetId="2" hidden="1">'12628E_Biphasic'!$D$23</definedName>
    <definedName name="solver_opt" localSheetId="4" hidden="1">'12662_Biphasic'!$D$19</definedName>
    <definedName name="solver_opt" localSheetId="6" hidden="1">'12662E_Geeraerd_Tail'!$D$21</definedName>
    <definedName name="solver_opt" localSheetId="8" hidden="1">'13136_Log_Linear'!$D$14</definedName>
    <definedName name="solver_pre" localSheetId="2" hidden="1">0.000000000001</definedName>
    <definedName name="solver_pre" localSheetId="4" hidden="1">0.000000000001</definedName>
    <definedName name="solver_pre" localSheetId="6" hidden="1">0.000000000001</definedName>
    <definedName name="solver_pre" localSheetId="8" hidden="1">0.000000000001</definedName>
    <definedName name="solver_rel1" localSheetId="2" hidden="1">3</definedName>
    <definedName name="solver_rel1" localSheetId="4" hidden="1">3</definedName>
    <definedName name="solver_rel1" localSheetId="6" hidden="1">3</definedName>
    <definedName name="solver_rel2" localSheetId="2" hidden="1">3</definedName>
    <definedName name="solver_rel2" localSheetId="4" hidden="1">3</definedName>
    <definedName name="solver_rel3" localSheetId="2" hidden="1">3</definedName>
    <definedName name="solver_rel3" localSheetId="4" hidden="1">3</definedName>
    <definedName name="solver_rel4" localSheetId="2" hidden="1">3</definedName>
    <definedName name="solver_rel4" localSheetId="4" hidden="1">3</definedName>
    <definedName name="solver_rel5" localSheetId="2" hidden="1">3</definedName>
    <definedName name="solver_rel5" localSheetId="4" hidden="1">3</definedName>
    <definedName name="solver_rhs1" localSheetId="2" hidden="1">'12628E_Biphasic'!$J$1</definedName>
    <definedName name="solver_rhs1" localSheetId="4" hidden="1">'12662_Biphasic'!$J$1</definedName>
    <definedName name="solver_rhs1" localSheetId="6" hidden="1">'12662E_Geeraerd_Tail'!$J$1</definedName>
    <definedName name="solver_rhs2" localSheetId="2" hidden="1">'12628E_Biphasic'!$J$1</definedName>
    <definedName name="solver_rhs2" localSheetId="4" hidden="1">'12662_Biphasic'!$J$1</definedName>
    <definedName name="solver_rhs3" localSheetId="2" hidden="1">'12628E_Biphasic'!$G$4</definedName>
    <definedName name="solver_rhs3" localSheetId="4" hidden="1">'12662_Biphasic'!$G$4</definedName>
    <definedName name="solver_rhs4" localSheetId="2" hidden="1">'12628E_Biphasic'!$J$1</definedName>
    <definedName name="solver_rhs4" localSheetId="4" hidden="1">'12662_Biphasic'!$J$1</definedName>
    <definedName name="solver_rhs5" localSheetId="2" hidden="1">'12628E_Biphasic'!$J$1</definedName>
    <definedName name="solver_rhs5" localSheetId="4" hidden="1">'12662_Biphasic'!$J$1</definedName>
    <definedName name="solver_scl" localSheetId="2" hidden="1">0</definedName>
    <definedName name="solver_scl" localSheetId="4" hidden="1">0</definedName>
    <definedName name="solver_scl" localSheetId="6" hidden="1">0</definedName>
    <definedName name="solver_scl" localSheetId="8" hidden="1">0</definedName>
    <definedName name="solver_sho" localSheetId="2" hidden="1">2</definedName>
    <definedName name="solver_sho" localSheetId="4" hidden="1">2</definedName>
    <definedName name="solver_sho" localSheetId="6" hidden="1">2</definedName>
    <definedName name="solver_sho" localSheetId="8" hidden="1">2</definedName>
    <definedName name="solver_tim" localSheetId="2" hidden="1">100</definedName>
    <definedName name="solver_tim" localSheetId="4" hidden="1">100</definedName>
    <definedName name="solver_tim" localSheetId="6" hidden="1">100</definedName>
    <definedName name="solver_tim" localSheetId="8" hidden="1">100</definedName>
    <definedName name="solver_tol" localSheetId="2" hidden="1">0.05</definedName>
    <definedName name="solver_tol" localSheetId="4" hidden="1">0.05</definedName>
    <definedName name="solver_tol" localSheetId="6" hidden="1">0.05</definedName>
    <definedName name="solver_tol" localSheetId="8" hidden="1">0.05</definedName>
    <definedName name="solver_typ" localSheetId="2" hidden="1">2</definedName>
    <definedName name="solver_typ" localSheetId="4" hidden="1">2</definedName>
    <definedName name="solver_typ" localSheetId="6" hidden="1">2</definedName>
    <definedName name="solver_typ" localSheetId="8" hidden="1">2</definedName>
    <definedName name="solver_val" localSheetId="2" hidden="1">0</definedName>
    <definedName name="solver_val" localSheetId="4" hidden="1">0</definedName>
    <definedName name="solver_val" localSheetId="6" hidden="1">0</definedName>
    <definedName name="solver_val" localSheetId="8" hidden="1">0</definedName>
  </definedNames>
  <calcPr calcId="152511"/>
</workbook>
</file>

<file path=xl/calcChain.xml><?xml version="1.0" encoding="utf-8"?>
<calcChain xmlns="http://schemas.openxmlformats.org/spreadsheetml/2006/main">
  <c r="B30" i="31" l="1"/>
  <c r="B29" i="31"/>
  <c r="B28" i="31"/>
  <c r="B27" i="31"/>
  <c r="B26" i="31"/>
  <c r="B25" i="31"/>
  <c r="B24" i="31"/>
  <c r="B23" i="31"/>
  <c r="B22" i="31"/>
  <c r="B21" i="31"/>
  <c r="B20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B3" i="30"/>
  <c r="B2" i="30"/>
  <c r="M3" i="29" l="1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3" i="29"/>
  <c r="D13" i="29" s="1"/>
  <c r="C12" i="29"/>
  <c r="D12" i="29" s="1"/>
  <c r="C11" i="29"/>
  <c r="D11" i="29" s="1"/>
  <c r="C10" i="29"/>
  <c r="D10" i="29" s="1"/>
  <c r="C9" i="29"/>
  <c r="D9" i="29" s="1"/>
  <c r="C8" i="29"/>
  <c r="D8" i="29" s="1"/>
  <c r="C7" i="29"/>
  <c r="D7" i="29" s="1"/>
  <c r="C6" i="29"/>
  <c r="D6" i="29" s="1"/>
  <c r="C5" i="29"/>
  <c r="D5" i="29" s="1"/>
  <c r="C4" i="29"/>
  <c r="D4" i="29" s="1"/>
  <c r="C3" i="29"/>
  <c r="D3" i="29" s="1"/>
  <c r="C2" i="29"/>
  <c r="D2" i="29" s="1"/>
  <c r="D14" i="29" l="1"/>
  <c r="B13" i="22" l="1"/>
  <c r="B9" i="22"/>
  <c r="B5" i="22"/>
  <c r="B12" i="22"/>
  <c r="B8" i="22"/>
  <c r="B4" i="22"/>
  <c r="B11" i="22"/>
  <c r="B7" i="22"/>
  <c r="B3" i="22"/>
  <c r="B10" i="22"/>
  <c r="B6" i="22"/>
  <c r="M3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0" i="18"/>
  <c r="D20" i="18" s="1"/>
  <c r="C19" i="18"/>
  <c r="D19" i="18" s="1"/>
  <c r="C18" i="18"/>
  <c r="D18" i="18" s="1"/>
  <c r="C17" i="18"/>
  <c r="D17" i="18" s="1"/>
  <c r="C16" i="18"/>
  <c r="D16" i="18" s="1"/>
  <c r="C15" i="18"/>
  <c r="D15" i="18" s="1"/>
  <c r="C14" i="18"/>
  <c r="D14" i="18" s="1"/>
  <c r="C13" i="18"/>
  <c r="D13" i="18" s="1"/>
  <c r="C12" i="18"/>
  <c r="D12" i="18" s="1"/>
  <c r="C11" i="18"/>
  <c r="D11" i="18" s="1"/>
  <c r="C10" i="18"/>
  <c r="D10" i="18" s="1"/>
  <c r="C9" i="18"/>
  <c r="D9" i="18" s="1"/>
  <c r="C8" i="18"/>
  <c r="D8" i="18" s="1"/>
  <c r="C7" i="18"/>
  <c r="D7" i="18" s="1"/>
  <c r="C6" i="18"/>
  <c r="D6" i="18" s="1"/>
  <c r="C5" i="18"/>
  <c r="D5" i="18" s="1"/>
  <c r="C4" i="18"/>
  <c r="D4" i="18" s="1"/>
  <c r="C3" i="18"/>
  <c r="D3" i="18" s="1"/>
  <c r="C2" i="18"/>
  <c r="D2" i="18" s="1"/>
  <c r="B20" i="17"/>
  <c r="B13" i="17"/>
  <c r="B19" i="17"/>
  <c r="B7" i="17"/>
  <c r="B18" i="17"/>
  <c r="B12" i="17"/>
  <c r="B6" i="17"/>
  <c r="B17" i="17"/>
  <c r="B11" i="17"/>
  <c r="B5" i="17"/>
  <c r="B16" i="17"/>
  <c r="B10" i="17"/>
  <c r="B4" i="17"/>
  <c r="B15" i="17"/>
  <c r="B9" i="17"/>
  <c r="B3" i="17"/>
  <c r="B14" i="17"/>
  <c r="B8" i="17"/>
  <c r="B2" i="17"/>
  <c r="M3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2" i="15"/>
  <c r="D22" i="15" s="1"/>
  <c r="C21" i="15"/>
  <c r="D21" i="15" s="1"/>
  <c r="C20" i="15"/>
  <c r="D20" i="15" s="1"/>
  <c r="C19" i="15"/>
  <c r="D19" i="15" s="1"/>
  <c r="C18" i="15"/>
  <c r="D18" i="15" s="1"/>
  <c r="C17" i="15"/>
  <c r="D17" i="15" s="1"/>
  <c r="C16" i="15"/>
  <c r="D16" i="15" s="1"/>
  <c r="C15" i="15"/>
  <c r="D15" i="15" s="1"/>
  <c r="C14" i="15"/>
  <c r="D14" i="15" s="1"/>
  <c r="C13" i="15"/>
  <c r="D13" i="15" s="1"/>
  <c r="C12" i="15"/>
  <c r="D12" i="15" s="1"/>
  <c r="C11" i="15"/>
  <c r="D11" i="15" s="1"/>
  <c r="C10" i="15"/>
  <c r="D10" i="15" s="1"/>
  <c r="C9" i="15"/>
  <c r="D9" i="15" s="1"/>
  <c r="C8" i="15"/>
  <c r="D8" i="15" s="1"/>
  <c r="C7" i="15"/>
  <c r="D7" i="15" s="1"/>
  <c r="C6" i="15"/>
  <c r="D6" i="15" s="1"/>
  <c r="C5" i="15"/>
  <c r="D5" i="15" s="1"/>
  <c r="C4" i="15"/>
  <c r="D4" i="15" s="1"/>
  <c r="C3" i="15"/>
  <c r="D3" i="15" s="1"/>
  <c r="C2" i="15"/>
  <c r="D2" i="15" s="1"/>
  <c r="B22" i="10"/>
  <c r="B15" i="10"/>
  <c r="B8" i="10"/>
  <c r="B21" i="10"/>
  <c r="B14" i="10"/>
  <c r="B7" i="10"/>
  <c r="B20" i="10"/>
  <c r="B13" i="10"/>
  <c r="B6" i="10"/>
  <c r="B19" i="10"/>
  <c r="B12" i="10"/>
  <c r="B5" i="10"/>
  <c r="B18" i="10"/>
  <c r="B11" i="10"/>
  <c r="B4" i="10"/>
  <c r="B17" i="10"/>
  <c r="B10" i="10"/>
  <c r="B3" i="10"/>
  <c r="B16" i="10"/>
  <c r="B9" i="10"/>
  <c r="B2" i="10"/>
  <c r="M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5" i="8"/>
  <c r="D5" i="8" s="1"/>
  <c r="C4" i="8"/>
  <c r="D4" i="8" s="1"/>
  <c r="C3" i="8"/>
  <c r="D3" i="8" s="1"/>
  <c r="C2" i="8"/>
  <c r="D2" i="8" s="1"/>
  <c r="B18" i="5"/>
  <c r="B12" i="5"/>
  <c r="B6" i="5"/>
  <c r="B17" i="5"/>
  <c r="B11" i="5"/>
  <c r="B16" i="5"/>
  <c r="B10" i="5"/>
  <c r="B5" i="5"/>
  <c r="B15" i="5"/>
  <c r="B9" i="5"/>
  <c r="B4" i="5"/>
  <c r="B14" i="5"/>
  <c r="B8" i="5"/>
  <c r="B3" i="5"/>
  <c r="B13" i="5"/>
  <c r="B7" i="5"/>
  <c r="B2" i="5"/>
  <c r="D21" i="18" l="1"/>
  <c r="D23" i="15"/>
  <c r="D19" i="8"/>
</calcChain>
</file>

<file path=xl/comments1.xml><?xml version="1.0" encoding="utf-8"?>
<comments xmlns="http://schemas.openxmlformats.org/spreadsheetml/2006/main">
  <authors>
    <author>najc16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najc16:</t>
        </r>
        <r>
          <rPr>
            <sz val="9"/>
            <color indexed="81"/>
            <rFont val="Tahoma"/>
            <family val="2"/>
          </rPr>
          <t xml:space="preserve">
Insufficient data to generate model that accurately reflects system.</t>
        </r>
      </text>
    </comment>
  </commentList>
</comments>
</file>

<file path=xl/sharedStrings.xml><?xml version="1.0" encoding="utf-8"?>
<sst xmlns="http://schemas.openxmlformats.org/spreadsheetml/2006/main" count="250" uniqueCount="39">
  <si>
    <t>Time</t>
  </si>
  <si>
    <t>CFU</t>
  </si>
  <si>
    <t>Strain</t>
  </si>
  <si>
    <t>Replicate</t>
  </si>
  <si>
    <t>A</t>
  </si>
  <si>
    <t>B</t>
  </si>
  <si>
    <t>C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</si>
  <si>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</si>
  <si>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</si>
  <si>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</si>
  <si>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</si>
  <si>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</si>
  <si>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</si>
  <si>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</si>
  <si>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</si>
  <si>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LOG10(N_res)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</si>
  <si>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</si>
  <si>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</si>
  <si>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</si>
  <si>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</si>
  <si>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</si>
  <si>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</si>
  <si>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 (N0- N_res) * exp(-kmax * t) + N_res</t>
  </si>
  <si>
    <t>For identification purposes reformulated as</t>
  </si>
  <si>
    <t>LOG10(N)= LOG10((10^LOG10(N0)- 10^LOG10(N_res)) * exp(-kmax * t) + 10^LOG10(N_res))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</si>
  <si>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</si>
  <si>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</si>
  <si>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f</t>
  </si>
  <si>
    <t>kmax1</t>
  </si>
  <si>
    <t>kmax2</t>
  </si>
  <si>
    <t>log10(N)=log10(N0)+log10(f*exp(-kmax1*t)+(1-f)*exp(-kmax2*t))</t>
  </si>
  <si>
    <t>Cerf O. 1977. Tailing of survival curves of bacterial spores.Journal of Applied Bacteriology, 42, 1-19</t>
  </si>
  <si>
    <t>D</t>
  </si>
  <si>
    <t>4D reduction is reached at</t>
  </si>
  <si>
    <t>units of time</t>
  </si>
  <si>
    <t>±21.34</t>
  </si>
  <si>
    <t>N= N0 * exp(-kmax * t)</t>
  </si>
  <si>
    <t xml:space="preserve">LOG10(N)=LOG10(N0)-kmax*t/LN(10) </t>
  </si>
  <si>
    <t>W.D. Bigelow and J.R. Esty 1920. The thermal death point in relation to typical thermophylic organisms. Journal of Infectious Diseases, 27, 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</si>
</sst>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164" fontId="0" fillId="0" borderId="0" xfId="0" applyNumberFormat="1" applyFont="1"/>
    <xf numFmtId="2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4" fillId="0" borderId="0" xfId="0" applyNumberFormat="1" applyFont="1"/>
    <xf numFmtId="0" fontId="0" fillId="0" borderId="0" xfId="0" applyFont="1" applyFill="1"/>
    <xf numFmtId="2" fontId="5" fillId="0" borderId="0" xfId="0" applyNumberFormat="1" applyFont="1" applyAlignment="1">
      <alignment wrapText="1"/>
    </xf>
    <xf numFmtId="2" fontId="5" fillId="0" borderId="0" xfId="0" applyNumberFormat="1" applyFont="1"/>
    <xf numFmtId="2" fontId="6" fillId="0" borderId="0" xfId="0" applyNumberFormat="1" applyFont="1"/>
    <xf numFmtId="0" fontId="6" fillId="0" borderId="0" xfId="0" applyFont="1"/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0" fillId="0" borderId="0" xfId="0" applyNumberFormat="1"/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2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'12628E_Biphasic'!$A$2:$A$22</c:f>
              <c:numCache>
                <c:formatCode>0.00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18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14</c:v>
                </c:pt>
                <c:pt idx="13">
                  <c:v>18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10</c:v>
                </c:pt>
                <c:pt idx="19">
                  <c:v>14</c:v>
                </c:pt>
                <c:pt idx="20">
                  <c:v>18</c:v>
                </c:pt>
              </c:numCache>
            </c:numRef>
          </c:xVal>
          <c:yVal>
            <c:numRef>
              <c:f>'12628E_Biphasic'!$B$2:$B$22</c:f>
              <c:numCache>
                <c:formatCode>0.00</c:formatCode>
                <c:ptCount val="21"/>
                <c:pt idx="0">
                  <c:v>6.4771212547196626</c:v>
                </c:pt>
                <c:pt idx="1">
                  <c:v>3.4771212547196626</c:v>
                </c:pt>
                <c:pt idx="2">
                  <c:v>3.7096938697277917</c:v>
                </c:pt>
                <c:pt idx="3">
                  <c:v>3.3273589343863303</c:v>
                </c:pt>
                <c:pt idx="4">
                  <c:v>3.0107238653917729</c:v>
                </c:pt>
                <c:pt idx="5">
                  <c:v>2.916453948549925</c:v>
                </c:pt>
                <c:pt idx="6">
                  <c:v>3.3064250275506875</c:v>
                </c:pt>
                <c:pt idx="7">
                  <c:v>6.6020599913279625</c:v>
                </c:pt>
                <c:pt idx="8">
                  <c:v>4.0530784434834199</c:v>
                </c:pt>
                <c:pt idx="9">
                  <c:v>3.3010299956639813</c:v>
                </c:pt>
                <c:pt idx="10">
                  <c:v>3.4191293077419758</c:v>
                </c:pt>
                <c:pt idx="11">
                  <c:v>3.1055101847699738</c:v>
                </c:pt>
                <c:pt idx="12">
                  <c:v>2.9420080530223132</c:v>
                </c:pt>
                <c:pt idx="13">
                  <c:v>2.7096938697277917</c:v>
                </c:pt>
                <c:pt idx="14">
                  <c:v>6.4771212547196626</c:v>
                </c:pt>
                <c:pt idx="15">
                  <c:v>4.1238516409670858</c:v>
                </c:pt>
                <c:pt idx="16">
                  <c:v>2.6651117370750512</c:v>
                </c:pt>
                <c:pt idx="17">
                  <c:v>3.4948500216800942</c:v>
                </c:pt>
                <c:pt idx="18">
                  <c:v>2.6989700043360187</c:v>
                </c:pt>
                <c:pt idx="19">
                  <c:v>3.0606978403536118</c:v>
                </c:pt>
                <c:pt idx="20">
                  <c:v>3.0881360887005513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'12628E_Biphasic'!$A$26:$A$126</c:f>
              <c:numCache>
                <c:formatCode>0.00</c:formatCode>
                <c:ptCount val="101"/>
                <c:pt idx="0">
                  <c:v>0</c:v>
                </c:pt>
                <c:pt idx="1">
                  <c:v>0.18</c:v>
                </c:pt>
                <c:pt idx="2">
                  <c:v>0.36</c:v>
                </c:pt>
                <c:pt idx="3">
                  <c:v>0.54</c:v>
                </c:pt>
                <c:pt idx="4">
                  <c:v>0.72</c:v>
                </c:pt>
                <c:pt idx="5">
                  <c:v>0.89999999999999991</c:v>
                </c:pt>
                <c:pt idx="6">
                  <c:v>1.0799999999999998</c:v>
                </c:pt>
                <c:pt idx="7">
                  <c:v>1.2599999999999998</c:v>
                </c:pt>
                <c:pt idx="8">
                  <c:v>1.4399999999999997</c:v>
                </c:pt>
                <c:pt idx="9">
                  <c:v>1.6199999999999997</c:v>
                </c:pt>
                <c:pt idx="10">
                  <c:v>1.7999999999999996</c:v>
                </c:pt>
                <c:pt idx="11">
                  <c:v>1.9799999999999995</c:v>
                </c:pt>
                <c:pt idx="12">
                  <c:v>2.1599999999999997</c:v>
                </c:pt>
                <c:pt idx="13">
                  <c:v>2.34</c:v>
                </c:pt>
                <c:pt idx="14">
                  <c:v>2.52</c:v>
                </c:pt>
                <c:pt idx="15">
                  <c:v>2.7</c:v>
                </c:pt>
                <c:pt idx="16">
                  <c:v>2.8800000000000003</c:v>
                </c:pt>
                <c:pt idx="17">
                  <c:v>3.0600000000000005</c:v>
                </c:pt>
                <c:pt idx="18">
                  <c:v>3.2400000000000007</c:v>
                </c:pt>
                <c:pt idx="19">
                  <c:v>3.4200000000000008</c:v>
                </c:pt>
                <c:pt idx="20">
                  <c:v>3.600000000000001</c:v>
                </c:pt>
                <c:pt idx="21">
                  <c:v>3.7800000000000011</c:v>
                </c:pt>
                <c:pt idx="22">
                  <c:v>3.9600000000000013</c:v>
                </c:pt>
                <c:pt idx="23">
                  <c:v>4.1400000000000015</c:v>
                </c:pt>
                <c:pt idx="24">
                  <c:v>4.3200000000000012</c:v>
                </c:pt>
                <c:pt idx="25">
                  <c:v>4.5000000000000009</c:v>
                </c:pt>
                <c:pt idx="26">
                  <c:v>4.6800000000000006</c:v>
                </c:pt>
                <c:pt idx="27">
                  <c:v>4.8600000000000003</c:v>
                </c:pt>
                <c:pt idx="28">
                  <c:v>5.04</c:v>
                </c:pt>
                <c:pt idx="29">
                  <c:v>5.22</c:v>
                </c:pt>
                <c:pt idx="30">
                  <c:v>5.3999999999999995</c:v>
                </c:pt>
                <c:pt idx="31">
                  <c:v>5.5799999999999992</c:v>
                </c:pt>
                <c:pt idx="32">
                  <c:v>5.7599999999999989</c:v>
                </c:pt>
                <c:pt idx="33">
                  <c:v>5.9399999999999986</c:v>
                </c:pt>
                <c:pt idx="34">
                  <c:v>6.1199999999999983</c:v>
                </c:pt>
                <c:pt idx="35">
                  <c:v>6.299999999999998</c:v>
                </c:pt>
                <c:pt idx="36">
                  <c:v>6.4799999999999978</c:v>
                </c:pt>
                <c:pt idx="37">
                  <c:v>6.6599999999999975</c:v>
                </c:pt>
                <c:pt idx="38">
                  <c:v>6.8399999999999972</c:v>
                </c:pt>
                <c:pt idx="39">
                  <c:v>7.0199999999999969</c:v>
                </c:pt>
                <c:pt idx="40">
                  <c:v>7.1999999999999966</c:v>
                </c:pt>
                <c:pt idx="41">
                  <c:v>7.3799999999999963</c:v>
                </c:pt>
                <c:pt idx="42">
                  <c:v>7.5599999999999961</c:v>
                </c:pt>
                <c:pt idx="43">
                  <c:v>7.7399999999999958</c:v>
                </c:pt>
                <c:pt idx="44">
                  <c:v>7.9199999999999955</c:v>
                </c:pt>
                <c:pt idx="45">
                  <c:v>8.0999999999999961</c:v>
                </c:pt>
                <c:pt idx="46">
                  <c:v>8.2799999999999958</c:v>
                </c:pt>
                <c:pt idx="47">
                  <c:v>8.4599999999999955</c:v>
                </c:pt>
                <c:pt idx="48">
                  <c:v>8.6399999999999952</c:v>
                </c:pt>
                <c:pt idx="49">
                  <c:v>8.819999999999995</c:v>
                </c:pt>
                <c:pt idx="50">
                  <c:v>8.9999999999999947</c:v>
                </c:pt>
                <c:pt idx="51">
                  <c:v>9.1799999999999944</c:v>
                </c:pt>
                <c:pt idx="52">
                  <c:v>9.3599999999999941</c:v>
                </c:pt>
                <c:pt idx="53">
                  <c:v>9.5399999999999938</c:v>
                </c:pt>
                <c:pt idx="54">
                  <c:v>9.7199999999999935</c:v>
                </c:pt>
                <c:pt idx="55">
                  <c:v>9.8999999999999932</c:v>
                </c:pt>
                <c:pt idx="56">
                  <c:v>10.079999999999993</c:v>
                </c:pt>
                <c:pt idx="57">
                  <c:v>10.259999999999993</c:v>
                </c:pt>
                <c:pt idx="58">
                  <c:v>10.439999999999992</c:v>
                </c:pt>
                <c:pt idx="59">
                  <c:v>10.619999999999992</c:v>
                </c:pt>
                <c:pt idx="60">
                  <c:v>10.799999999999992</c:v>
                </c:pt>
                <c:pt idx="61">
                  <c:v>10.979999999999992</c:v>
                </c:pt>
                <c:pt idx="62">
                  <c:v>11.159999999999991</c:v>
                </c:pt>
                <c:pt idx="63">
                  <c:v>11.339999999999991</c:v>
                </c:pt>
                <c:pt idx="64">
                  <c:v>11.519999999999991</c:v>
                </c:pt>
                <c:pt idx="65">
                  <c:v>11.69999999999999</c:v>
                </c:pt>
                <c:pt idx="66">
                  <c:v>11.87999999999999</c:v>
                </c:pt>
                <c:pt idx="67">
                  <c:v>12.05999999999999</c:v>
                </c:pt>
                <c:pt idx="68">
                  <c:v>12.23999999999999</c:v>
                </c:pt>
                <c:pt idx="69">
                  <c:v>12.419999999999989</c:v>
                </c:pt>
                <c:pt idx="70">
                  <c:v>12.599999999999989</c:v>
                </c:pt>
                <c:pt idx="71">
                  <c:v>12.779999999999989</c:v>
                </c:pt>
                <c:pt idx="72">
                  <c:v>12.959999999999988</c:v>
                </c:pt>
                <c:pt idx="73">
                  <c:v>13.139999999999988</c:v>
                </c:pt>
                <c:pt idx="74">
                  <c:v>13.319999999999988</c:v>
                </c:pt>
                <c:pt idx="75">
                  <c:v>13.499999999999988</c:v>
                </c:pt>
                <c:pt idx="76">
                  <c:v>13.679999999999987</c:v>
                </c:pt>
                <c:pt idx="77">
                  <c:v>13.859999999999987</c:v>
                </c:pt>
                <c:pt idx="78">
                  <c:v>14.039999999999987</c:v>
                </c:pt>
                <c:pt idx="79">
                  <c:v>14.219999999999986</c:v>
                </c:pt>
                <c:pt idx="80">
                  <c:v>14.399999999999986</c:v>
                </c:pt>
                <c:pt idx="81">
                  <c:v>14.579999999999986</c:v>
                </c:pt>
                <c:pt idx="82">
                  <c:v>14.759999999999986</c:v>
                </c:pt>
                <c:pt idx="83">
                  <c:v>14.939999999999985</c:v>
                </c:pt>
                <c:pt idx="84">
                  <c:v>15.119999999999985</c:v>
                </c:pt>
                <c:pt idx="85">
                  <c:v>15.299999999999985</c:v>
                </c:pt>
                <c:pt idx="86">
                  <c:v>15.479999999999984</c:v>
                </c:pt>
                <c:pt idx="87">
                  <c:v>15.659999999999984</c:v>
                </c:pt>
                <c:pt idx="88">
                  <c:v>15.839999999999984</c:v>
                </c:pt>
                <c:pt idx="89">
                  <c:v>16.019999999999985</c:v>
                </c:pt>
                <c:pt idx="90">
                  <c:v>16.199999999999985</c:v>
                </c:pt>
                <c:pt idx="91">
                  <c:v>16.379999999999985</c:v>
                </c:pt>
                <c:pt idx="92">
                  <c:v>16.559999999999985</c:v>
                </c:pt>
                <c:pt idx="93">
                  <c:v>16.739999999999984</c:v>
                </c:pt>
                <c:pt idx="94">
                  <c:v>16.919999999999984</c:v>
                </c:pt>
                <c:pt idx="95">
                  <c:v>17.099999999999984</c:v>
                </c:pt>
                <c:pt idx="96">
                  <c:v>17.279999999999983</c:v>
                </c:pt>
                <c:pt idx="97">
                  <c:v>17.459999999999983</c:v>
                </c:pt>
                <c:pt idx="98">
                  <c:v>17.639999999999983</c:v>
                </c:pt>
                <c:pt idx="99">
                  <c:v>17.819999999999983</c:v>
                </c:pt>
                <c:pt idx="100">
                  <c:v>17.999999999999982</c:v>
                </c:pt>
              </c:numCache>
            </c:numRef>
          </c:xVal>
          <c:yVal>
            <c:numRef>
              <c:f>'12628E_Biphasic'!$C$26:$C$126</c:f>
              <c:numCache>
                <c:formatCode>0.00</c:formatCode>
                <c:ptCount val="101"/>
                <c:pt idx="0">
                  <c:v>6.5189800363772923</c:v>
                </c:pt>
                <c:pt idx="1">
                  <c:v>6.2698902739116127</c:v>
                </c:pt>
                <c:pt idx="2">
                  <c:v>6.0209730757319821</c:v>
                </c:pt>
                <c:pt idx="3">
                  <c:v>5.7723587120974331</c:v>
                </c:pt>
                <c:pt idx="4">
                  <c:v>5.5242749951510755</c:v>
                </c:pt>
                <c:pt idx="5">
                  <c:v>5.2771186624382107</c:v>
                </c:pt>
                <c:pt idx="6">
                  <c:v>5.0315756273342611</c:v>
                </c:pt>
                <c:pt idx="7">
                  <c:v>4.7888167885650565</c:v>
                </c:pt>
                <c:pt idx="8">
                  <c:v>4.5507973541158719</c:v>
                </c:pt>
                <c:pt idx="9">
                  <c:v>4.3206605732000973</c:v>
                </c:pt>
                <c:pt idx="10">
                  <c:v>4.1031436174082572</c:v>
                </c:pt>
                <c:pt idx="11">
                  <c:v>3.9046527670359987</c:v>
                </c:pt>
                <c:pt idx="12">
                  <c:v>3.7324145096324481</c:v>
                </c:pt>
                <c:pt idx="13">
                  <c:v>3.5923241999764364</c:v>
                </c:pt>
                <c:pt idx="14">
                  <c:v>3.4863396527541379</c:v>
                </c:pt>
                <c:pt idx="15">
                  <c:v>3.4114581043191485</c:v>
                </c:pt>
                <c:pt idx="16">
                  <c:v>3.3612538666458383</c:v>
                </c:pt>
                <c:pt idx="17">
                  <c:v>3.328540594781991</c:v>
                </c:pt>
                <c:pt idx="18">
                  <c:v>3.307250224624033</c:v>
                </c:pt>
                <c:pt idx="19">
                  <c:v>3.2930235142402746</c:v>
                </c:pt>
                <c:pt idx="20">
                  <c:v>3.2830175861381088</c:v>
                </c:pt>
                <c:pt idx="21">
                  <c:v>3.2754820528376416</c:v>
                </c:pt>
                <c:pt idx="22">
                  <c:v>3.2693749005497343</c:v>
                </c:pt>
                <c:pt idx="23">
                  <c:v>3.2640878125561446</c:v>
                </c:pt>
                <c:pt idx="24">
                  <c:v>3.2592696274894442</c:v>
                </c:pt>
                <c:pt idx="25">
                  <c:v>3.2547189310214235</c:v>
                </c:pt>
                <c:pt idx="26">
                  <c:v>3.2503206220954479</c:v>
                </c:pt>
                <c:pt idx="27">
                  <c:v>3.2460090621027637</c:v>
                </c:pt>
                <c:pt idx="28">
                  <c:v>3.2417468639339027</c:v>
                </c:pt>
                <c:pt idx="29">
                  <c:v>3.2375127466942737</c:v>
                </c:pt>
                <c:pt idx="30">
                  <c:v>3.2332946018850399</c:v>
                </c:pt>
                <c:pt idx="31">
                  <c:v>3.2290855414701523</c:v>
                </c:pt>
                <c:pt idx="32">
                  <c:v>3.2248816476131377</c:v>
                </c:pt>
                <c:pt idx="33">
                  <c:v>3.2206806920514257</c:v>
                </c:pt>
                <c:pt idx="34">
                  <c:v>3.2164814075157855</c:v>
                </c:pt>
                <c:pt idx="35">
                  <c:v>3.2122830732947332</c:v>
                </c:pt>
                <c:pt idx="36">
                  <c:v>3.2080852795161996</c:v>
                </c:pt>
                <c:pt idx="37">
                  <c:v>3.2038877930857108</c:v>
                </c:pt>
                <c:pt idx="38">
                  <c:v>3.1996904814428677</c:v>
                </c:pt>
                <c:pt idx="39">
                  <c:v>3.1954932692009979</c:v>
                </c:pt>
                <c:pt idx="40">
                  <c:v>3.1912961134880002</c:v>
                </c:pt>
                <c:pt idx="41">
                  <c:v>3.1870989899227009</c:v>
                </c:pt>
                <c:pt idx="42">
                  <c:v>3.1829018846396404</c:v>
                </c:pt>
                <c:pt idx="43">
                  <c:v>3.1787047897535992</c:v>
                </c:pt>
                <c:pt idx="44">
                  <c:v>3.1745077007802904</c:v>
                </c:pt>
                <c:pt idx="45">
                  <c:v>3.1703106151695239</c:v>
                </c:pt>
                <c:pt idx="46">
                  <c:v>3.1661135314710176</c:v>
                </c:pt>
                <c:pt idx="47">
                  <c:v>3.1619164488600049</c:v>
                </c:pt>
                <c:pt idx="48">
                  <c:v>3.1577193668674437</c:v>
                </c:pt>
                <c:pt idx="49">
                  <c:v>3.1535222852265932</c:v>
                </c:pt>
                <c:pt idx="50">
                  <c:v>3.1493252037857586</c:v>
                </c:pt>
                <c:pt idx="51">
                  <c:v>3.1451281224586722</c:v>
                </c:pt>
                <c:pt idx="52">
                  <c:v>3.1409310411962741</c:v>
                </c:pt>
                <c:pt idx="53">
                  <c:v>3.1367339599706634</c:v>
                </c:pt>
                <c:pt idx="54">
                  <c:v>3.1325368787659733</c:v>
                </c:pt>
                <c:pt idx="55">
                  <c:v>3.1283397975731813</c:v>
                </c:pt>
                <c:pt idx="56">
                  <c:v>3.1241427163871553</c:v>
                </c:pt>
                <c:pt idx="57">
                  <c:v>3.1199456352049775</c:v>
                </c:pt>
                <c:pt idx="58">
                  <c:v>3.1157485540249876</c:v>
                </c:pt>
                <c:pt idx="59">
                  <c:v>3.1115514728462421</c:v>
                </c:pt>
                <c:pt idx="60">
                  <c:v>3.1073543916682045</c:v>
                </c:pt>
                <c:pt idx="61">
                  <c:v>3.1031573104905692</c:v>
                </c:pt>
                <c:pt idx="62">
                  <c:v>3.0989602293131631</c:v>
                </c:pt>
                <c:pt idx="63">
                  <c:v>3.094763148135887</c:v>
                </c:pt>
                <c:pt idx="64">
                  <c:v>3.0905660669586847</c:v>
                </c:pt>
                <c:pt idx="65">
                  <c:v>3.0863689857815251</c:v>
                </c:pt>
                <c:pt idx="66">
                  <c:v>3.0821719046043889</c:v>
                </c:pt>
                <c:pt idx="67">
                  <c:v>3.0779748234272666</c:v>
                </c:pt>
                <c:pt idx="68">
                  <c:v>3.0737777422501518</c:v>
                </c:pt>
                <c:pt idx="69">
                  <c:v>3.0695806610730414</c:v>
                </c:pt>
                <c:pt idx="70">
                  <c:v>3.0653835798959337</c:v>
                </c:pt>
                <c:pt idx="71">
                  <c:v>3.0611864987188273</c:v>
                </c:pt>
                <c:pt idx="72">
                  <c:v>3.0569894175417218</c:v>
                </c:pt>
                <c:pt idx="73">
                  <c:v>3.0527923363646168</c:v>
                </c:pt>
                <c:pt idx="74">
                  <c:v>3.0485952551875117</c:v>
                </c:pt>
                <c:pt idx="75">
                  <c:v>3.0443981740104071</c:v>
                </c:pt>
                <c:pt idx="76">
                  <c:v>3.0402010928333025</c:v>
                </c:pt>
                <c:pt idx="77">
                  <c:v>3.0360040116561979</c:v>
                </c:pt>
                <c:pt idx="78">
                  <c:v>3.0318069304790938</c:v>
                </c:pt>
                <c:pt idx="79">
                  <c:v>3.0276098493019892</c:v>
                </c:pt>
                <c:pt idx="80">
                  <c:v>3.0234127681248846</c:v>
                </c:pt>
                <c:pt idx="81">
                  <c:v>3.01921568694778</c:v>
                </c:pt>
                <c:pt idx="82">
                  <c:v>3.0150186057706754</c:v>
                </c:pt>
                <c:pt idx="83">
                  <c:v>3.0108215245935712</c:v>
                </c:pt>
                <c:pt idx="84">
                  <c:v>3.0066244434164666</c:v>
                </c:pt>
                <c:pt idx="85">
                  <c:v>3.002427362239362</c:v>
                </c:pt>
                <c:pt idx="86">
                  <c:v>2.9982302810622574</c:v>
                </c:pt>
                <c:pt idx="87">
                  <c:v>2.9940331998851533</c:v>
                </c:pt>
                <c:pt idx="88">
                  <c:v>2.9898361187080487</c:v>
                </c:pt>
                <c:pt idx="89">
                  <c:v>2.9856390375309441</c:v>
                </c:pt>
                <c:pt idx="90">
                  <c:v>2.9814419563538395</c:v>
                </c:pt>
                <c:pt idx="91">
                  <c:v>2.9772448751767353</c:v>
                </c:pt>
                <c:pt idx="92">
                  <c:v>2.9730477939996307</c:v>
                </c:pt>
                <c:pt idx="93">
                  <c:v>2.9688507128225261</c:v>
                </c:pt>
                <c:pt idx="94">
                  <c:v>2.9646536316454219</c:v>
                </c:pt>
                <c:pt idx="95">
                  <c:v>2.9604565504683173</c:v>
                </c:pt>
                <c:pt idx="96">
                  <c:v>2.9562594692912127</c:v>
                </c:pt>
                <c:pt idx="97">
                  <c:v>2.9520623881141081</c:v>
                </c:pt>
                <c:pt idx="98">
                  <c:v>2.947865306937004</c:v>
                </c:pt>
                <c:pt idx="99">
                  <c:v>2.9436682257598994</c:v>
                </c:pt>
                <c:pt idx="100">
                  <c:v>2.9394711445827948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04240"/>
        <c:axId val="358931168"/>
      </c:scatterChart>
      <c:valAx>
        <c:axId val="3589042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8931168"/>
        <c:crosses val="autoZero"/>
        <c:crossBetween val="midCat"/>
      </c:valAx>
      <c:valAx>
        <c:axId val="35893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8904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'12662_Biphasic'!$A$2:$A$18</c:f>
              <c:numCache>
                <c:formatCode>0.00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</c:numCache>
            </c:numRef>
          </c:xVal>
          <c:yVal>
            <c:numRef>
              <c:f>'12662_Biphasic'!$B$2:$B$18</c:f>
              <c:numCache>
                <c:formatCode>0.00</c:formatCode>
                <c:ptCount val="17"/>
                <c:pt idx="0">
                  <c:v>6.4771212547196626</c:v>
                </c:pt>
                <c:pt idx="1">
                  <c:v>2.5185139398778875</c:v>
                </c:pt>
                <c:pt idx="2">
                  <c:v>2.7242758696007892</c:v>
                </c:pt>
                <c:pt idx="3">
                  <c:v>3.3979400086720375</c:v>
                </c:pt>
                <c:pt idx="4">
                  <c:v>3.3010299956639813</c:v>
                </c:pt>
                <c:pt idx="5">
                  <c:v>6.2304489213782741</c:v>
                </c:pt>
                <c:pt idx="6">
                  <c:v>3.3617278360175931</c:v>
                </c:pt>
                <c:pt idx="7">
                  <c:v>3.3010299956639813</c:v>
                </c:pt>
                <c:pt idx="8">
                  <c:v>2.3010299956639813</c:v>
                </c:pt>
                <c:pt idx="9">
                  <c:v>3.916453948549925</c:v>
                </c:pt>
                <c:pt idx="10">
                  <c:v>2.7096938697277917</c:v>
                </c:pt>
                <c:pt idx="11">
                  <c:v>6.6020599913279625</c:v>
                </c:pt>
                <c:pt idx="12">
                  <c:v>5.7781512503836439</c:v>
                </c:pt>
                <c:pt idx="13">
                  <c:v>3.568201724066995</c:v>
                </c:pt>
                <c:pt idx="14">
                  <c:v>3.8129133566428557</c:v>
                </c:pt>
                <c:pt idx="15">
                  <c:v>3.7501225267834002</c:v>
                </c:pt>
                <c:pt idx="16">
                  <c:v>3.0969100130080562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'12662_Biphasic'!$A$22:$A$122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0.75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'12662_Biphasic'!$C$22:$C$122</c:f>
              <c:numCache>
                <c:formatCode>0.00</c:formatCode>
                <c:ptCount val="101"/>
                <c:pt idx="0">
                  <c:v>6.4369960619601665</c:v>
                </c:pt>
                <c:pt idx="1">
                  <c:v>6.3035838686747612</c:v>
                </c:pt>
                <c:pt idx="2">
                  <c:v>6.1702093777978053</c:v>
                </c:pt>
                <c:pt idx="3">
                  <c:v>6.0368861204070088</c:v>
                </c:pt>
                <c:pt idx="4">
                  <c:v>5.9036324669580944</c:v>
                </c:pt>
                <c:pt idx="5">
                  <c:v>5.7704733438616289</c:v>
                </c:pt>
                <c:pt idx="6">
                  <c:v>5.6374425469322738</c:v>
                </c:pt>
                <c:pt idx="7">
                  <c:v>5.5045858491032913</c:v>
                </c:pt>
                <c:pt idx="8">
                  <c:v>5.438241362725349</c:v>
                </c:pt>
                <c:pt idx="9">
                  <c:v>5.2396640321896371</c:v>
                </c:pt>
                <c:pt idx="10">
                  <c:v>5.1077949761560095</c:v>
                </c:pt>
                <c:pt idx="11">
                  <c:v>4.9765089054009817</c:v>
                </c:pt>
                <c:pt idx="12">
                  <c:v>4.8460072960182696</c:v>
                </c:pt>
                <c:pt idx="13">
                  <c:v>4.7165573668989467</c:v>
                </c:pt>
                <c:pt idx="14">
                  <c:v>4.5885104144492512</c:v>
                </c:pt>
                <c:pt idx="15">
                  <c:v>4.4623228012102985</c:v>
                </c:pt>
                <c:pt idx="16">
                  <c:v>4.3385779687330883</c:v>
                </c:pt>
                <c:pt idx="17">
                  <c:v>4.218005999251373</c:v>
                </c:pt>
                <c:pt idx="18">
                  <c:v>4.101494659194838</c:v>
                </c:pt>
                <c:pt idx="19">
                  <c:v>3.9900829439423373</c:v>
                </c:pt>
                <c:pt idx="20">
                  <c:v>3.8849261999934206</c:v>
                </c:pt>
                <c:pt idx="21">
                  <c:v>3.7872233016645418</c:v>
                </c:pt>
                <c:pt idx="22">
                  <c:v>3.6981038605087901</c:v>
                </c:pt>
                <c:pt idx="23">
                  <c:v>3.6184878874922632</c:v>
                </c:pt>
                <c:pt idx="24">
                  <c:v>3.5489474825725225</c:v>
                </c:pt>
                <c:pt idx="25">
                  <c:v>3.4896101031945777</c:v>
                </c:pt>
                <c:pt idx="26">
                  <c:v>3.440135902667083</c:v>
                </c:pt>
                <c:pt idx="27">
                  <c:v>3.3997772564108941</c:v>
                </c:pt>
                <c:pt idx="28">
                  <c:v>3.367499552064305</c:v>
                </c:pt>
                <c:pt idx="29">
                  <c:v>3.3421250492900723</c:v>
                </c:pt>
                <c:pt idx="30">
                  <c:v>3.3224632129634246</c:v>
                </c:pt>
                <c:pt idx="31">
                  <c:v>3.307405642945314</c:v>
                </c:pt>
                <c:pt idx="32">
                  <c:v>3.2959805662748991</c:v>
                </c:pt>
                <c:pt idx="33">
                  <c:v>3.2873732589832612</c:v>
                </c:pt>
                <c:pt idx="34">
                  <c:v>3.2809231657946798</c:v>
                </c:pt>
                <c:pt idx="35">
                  <c:v>3.2761079958595039</c:v>
                </c:pt>
                <c:pt idx="36">
                  <c:v>3.2725224520126064</c:v>
                </c:pt>
                <c:pt idx="37">
                  <c:v>3.2698563873290718</c:v>
                </c:pt>
                <c:pt idx="38">
                  <c:v>3.2678749182358708</c:v>
                </c:pt>
                <c:pt idx="39">
                  <c:v>3.2664015242459854</c:v>
                </c:pt>
                <c:pt idx="40">
                  <c:v>3.265304299482847</c:v>
                </c:pt>
                <c:pt idx="41">
                  <c:v>3.2644850904664255</c:v>
                </c:pt>
                <c:pt idx="42">
                  <c:v>3.2638710859215254</c:v>
                </c:pt>
                <c:pt idx="43">
                  <c:v>3.2634083972097758</c:v>
                </c:pt>
                <c:pt idx="44">
                  <c:v>3.2630572078281568</c:v>
                </c:pt>
                <c:pt idx="45">
                  <c:v>3.2627881352294943</c:v>
                </c:pt>
                <c:pt idx="46">
                  <c:v>3.2625795164165114</c:v>
                </c:pt>
                <c:pt idx="47">
                  <c:v>3.2624153905654909</c:v>
                </c:pt>
                <c:pt idx="48">
                  <c:v>3.2622840039131233</c:v>
                </c:pt>
                <c:pt idx="49">
                  <c:v>3.2621767039851202</c:v>
                </c:pt>
                <c:pt idx="50">
                  <c:v>3.2620871230129129</c:v>
                </c:pt>
                <c:pt idx="51">
                  <c:v>3.2620105755758546</c:v>
                </c:pt>
                <c:pt idx="52">
                  <c:v>3.2619436146292471</c:v>
                </c:pt>
                <c:pt idx="53">
                  <c:v>3.2618837044669897</c:v>
                </c:pt>
                <c:pt idx="54">
                  <c:v>3.2618289799258569</c:v>
                </c:pt>
                <c:pt idx="55">
                  <c:v>3.2617780691460991</c:v>
                </c:pt>
                <c:pt idx="56">
                  <c:v>3.2617299631440053</c:v>
                </c:pt>
                <c:pt idx="57">
                  <c:v>3.2616839198492862</c:v>
                </c:pt>
                <c:pt idx="58">
                  <c:v>3.2616393935091521</c:v>
                </c:pt>
                <c:pt idx="59">
                  <c:v>3.2615959827585499</c:v>
                </c:pt>
                <c:pt idx="60">
                  <c:v>3.2615533924237132</c:v>
                </c:pt>
                <c:pt idx="61">
                  <c:v>3.2615114054285517</c:v>
                </c:pt>
                <c:pt idx="62">
                  <c:v>3.2614698621324787</c:v>
                </c:pt>
                <c:pt idx="63">
                  <c:v>3.2614286451343069</c:v>
                </c:pt>
                <c:pt idx="64">
                  <c:v>3.2613876680964125</c:v>
                </c:pt>
                <c:pt idx="65">
                  <c:v>3.2613468675256958</c:v>
                </c:pt>
                <c:pt idx="66">
                  <c:v>3.2613061967291199</c:v>
                </c:pt>
                <c:pt idx="67">
                  <c:v>3.2612656213685201</c:v>
                </c:pt>
                <c:pt idx="68">
                  <c:v>3.2612251161915586</c:v>
                </c:pt>
                <c:pt idx="69">
                  <c:v>3.2611846626276439</c:v>
                </c:pt>
                <c:pt idx="70">
                  <c:v>3.2611442470199545</c:v>
                </c:pt>
                <c:pt idx="71">
                  <c:v>3.2611038593252601</c:v>
                </c:pt>
                <c:pt idx="72">
                  <c:v>3.261063492157771</c:v>
                </c:pt>
                <c:pt idx="73">
                  <c:v>3.2610231400859786</c:v>
                </c:pt>
                <c:pt idx="74">
                  <c:v>3.2609827991155531</c:v>
                </c:pt>
                <c:pt idx="75">
                  <c:v>3.2609424663090665</c:v>
                </c:pt>
                <c:pt idx="76">
                  <c:v>3.2609021395063351</c:v>
                </c:pt>
                <c:pt idx="77">
                  <c:v>3.2608618171187622</c:v>
                </c:pt>
                <c:pt idx="78">
                  <c:v>3.2608214979780938</c:v>
                </c:pt>
                <c:pt idx="79">
                  <c:v>3.2607811812251968</c:v>
                </c:pt>
                <c:pt idx="80">
                  <c:v>3.2607408662282649</c:v>
                </c:pt>
                <c:pt idx="81">
                  <c:v>3.2607005525226689</c:v>
                </c:pt>
                <c:pt idx="82">
                  <c:v>3.2606602397667204</c:v>
                </c:pt>
                <c:pt idx="83">
                  <c:v>3.2606199277091426</c:v>
                </c:pt>
                <c:pt idx="84">
                  <c:v>3.260579616165145</c:v>
                </c:pt>
                <c:pt idx="85">
                  <c:v>3.2605393049988347</c:v>
                </c:pt>
                <c:pt idx="86">
                  <c:v>3.2604989941102751</c:v>
                </c:pt>
                <c:pt idx="87">
                  <c:v>3.2604586834259734</c:v>
                </c:pt>
                <c:pt idx="88">
                  <c:v>3.2604183728918827</c:v>
                </c:pt>
                <c:pt idx="89">
                  <c:v>3.260378062468257</c:v>
                </c:pt>
                <c:pt idx="90">
                  <c:v>3.2603377521258672</c:v>
                </c:pt>
                <c:pt idx="91">
                  <c:v>3.2602974418432185</c:v>
                </c:pt>
                <c:pt idx="92">
                  <c:v>3.260257131604503</c:v>
                </c:pt>
                <c:pt idx="93">
                  <c:v>3.260216821398096</c:v>
                </c:pt>
                <c:pt idx="94">
                  <c:v>3.2601765112154486</c:v>
                </c:pt>
                <c:pt idx="95">
                  <c:v>3.2601362010502744</c:v>
                </c:pt>
                <c:pt idx="96">
                  <c:v>3.2600958908979498</c:v>
                </c:pt>
                <c:pt idx="97">
                  <c:v>3.2600555807550742</c:v>
                </c:pt>
                <c:pt idx="98">
                  <c:v>3.2600152706191481</c:v>
                </c:pt>
                <c:pt idx="99">
                  <c:v>3.2599749604883326</c:v>
                </c:pt>
                <c:pt idx="100">
                  <c:v>3.2599346503612749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483232"/>
        <c:axId val="358483616"/>
      </c:scatterChart>
      <c:valAx>
        <c:axId val="358483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8483616"/>
        <c:crosses val="autoZero"/>
        <c:crossBetween val="midCat"/>
      </c:valAx>
      <c:valAx>
        <c:axId val="35848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8483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'12662E_Geeraerd_Tail'!$A$2:$A$20</c:f>
              <c:numCache>
                <c:formatCode>0.00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18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18</c:v>
                </c:pt>
              </c:numCache>
            </c:numRef>
          </c:xVal>
          <c:yVal>
            <c:numRef>
              <c:f>'12662E_Geeraerd_Tail'!$B$2:$B$20</c:f>
              <c:numCache>
                <c:formatCode>0.00</c:formatCode>
                <c:ptCount val="19"/>
                <c:pt idx="0">
                  <c:v>6.3926969532596658</c:v>
                </c:pt>
                <c:pt idx="1">
                  <c:v>4.2121876044039581</c:v>
                </c:pt>
                <c:pt idx="2">
                  <c:v>3.7596678446896306</c:v>
                </c:pt>
                <c:pt idx="3">
                  <c:v>4.0107238653917729</c:v>
                </c:pt>
                <c:pt idx="4">
                  <c:v>3.4586378490256493</c:v>
                </c:pt>
                <c:pt idx="5">
                  <c:v>3.249198357391113</c:v>
                </c:pt>
                <c:pt idx="6">
                  <c:v>6.5185139398778871</c:v>
                </c:pt>
                <c:pt idx="7">
                  <c:v>3.2304489213782741</c:v>
                </c:pt>
                <c:pt idx="8">
                  <c:v>3.916453948549925</c:v>
                </c:pt>
                <c:pt idx="9">
                  <c:v>2.9661417327390325</c:v>
                </c:pt>
                <c:pt idx="10">
                  <c:v>2.8450980400142569</c:v>
                </c:pt>
                <c:pt idx="11">
                  <c:v>2.7303784685876429</c:v>
                </c:pt>
                <c:pt idx="12">
                  <c:v>6.419955748489758</c:v>
                </c:pt>
                <c:pt idx="13">
                  <c:v>4.012837224705172</c:v>
                </c:pt>
                <c:pt idx="14">
                  <c:v>2.8750612633917001</c:v>
                </c:pt>
                <c:pt idx="15">
                  <c:v>2.2430380486862944</c:v>
                </c:pt>
                <c:pt idx="16">
                  <c:v>2.8129133566428557</c:v>
                </c:pt>
                <c:pt idx="17">
                  <c:v>2.9777236052888476</c:v>
                </c:pt>
                <c:pt idx="18">
                  <c:v>3.2730012720637376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31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'12662E_Geeraerd_Tail'!$A$24:$A$124</c:f>
              <c:numCache>
                <c:formatCode>0.00</c:formatCode>
                <c:ptCount val="101"/>
                <c:pt idx="0">
                  <c:v>0</c:v>
                </c:pt>
                <c:pt idx="1">
                  <c:v>0.18</c:v>
                </c:pt>
                <c:pt idx="2">
                  <c:v>0.36</c:v>
                </c:pt>
                <c:pt idx="3">
                  <c:v>0.54</c:v>
                </c:pt>
                <c:pt idx="4">
                  <c:v>0.74</c:v>
                </c:pt>
                <c:pt idx="5">
                  <c:v>0.89999999999999991</c:v>
                </c:pt>
                <c:pt idx="6">
                  <c:v>1.0799999999999998</c:v>
                </c:pt>
                <c:pt idx="7">
                  <c:v>1.2599999999999998</c:v>
                </c:pt>
                <c:pt idx="8">
                  <c:v>1.4399999999999997</c:v>
                </c:pt>
                <c:pt idx="9">
                  <c:v>1.6199999999999997</c:v>
                </c:pt>
                <c:pt idx="10">
                  <c:v>1.7999999999999996</c:v>
                </c:pt>
                <c:pt idx="11">
                  <c:v>1.9799999999999995</c:v>
                </c:pt>
                <c:pt idx="12">
                  <c:v>2.1599999999999997</c:v>
                </c:pt>
                <c:pt idx="13">
                  <c:v>2.34</c:v>
                </c:pt>
                <c:pt idx="14">
                  <c:v>2.52</c:v>
                </c:pt>
                <c:pt idx="15">
                  <c:v>2.7</c:v>
                </c:pt>
                <c:pt idx="16">
                  <c:v>2.8800000000000003</c:v>
                </c:pt>
                <c:pt idx="17">
                  <c:v>3.0600000000000005</c:v>
                </c:pt>
                <c:pt idx="18">
                  <c:v>3.2400000000000007</c:v>
                </c:pt>
                <c:pt idx="19">
                  <c:v>3.4200000000000008</c:v>
                </c:pt>
                <c:pt idx="20">
                  <c:v>3.600000000000001</c:v>
                </c:pt>
                <c:pt idx="21">
                  <c:v>3.7800000000000011</c:v>
                </c:pt>
                <c:pt idx="22">
                  <c:v>3.9600000000000013</c:v>
                </c:pt>
                <c:pt idx="23">
                  <c:v>4.1400000000000015</c:v>
                </c:pt>
                <c:pt idx="24">
                  <c:v>4.3200000000000012</c:v>
                </c:pt>
                <c:pt idx="25">
                  <c:v>4.5000000000000009</c:v>
                </c:pt>
                <c:pt idx="26">
                  <c:v>4.6800000000000006</c:v>
                </c:pt>
                <c:pt idx="27">
                  <c:v>4.8600000000000003</c:v>
                </c:pt>
                <c:pt idx="28">
                  <c:v>5.04</c:v>
                </c:pt>
                <c:pt idx="29">
                  <c:v>5.22</c:v>
                </c:pt>
                <c:pt idx="30">
                  <c:v>5.3999999999999995</c:v>
                </c:pt>
                <c:pt idx="31">
                  <c:v>5.5799999999999992</c:v>
                </c:pt>
                <c:pt idx="32">
                  <c:v>5.7599999999999989</c:v>
                </c:pt>
                <c:pt idx="33">
                  <c:v>5.9399999999999986</c:v>
                </c:pt>
                <c:pt idx="34">
                  <c:v>6.1199999999999983</c:v>
                </c:pt>
                <c:pt idx="35">
                  <c:v>6.299999999999998</c:v>
                </c:pt>
                <c:pt idx="36">
                  <c:v>6.4799999999999978</c:v>
                </c:pt>
                <c:pt idx="37">
                  <c:v>6.6599999999999975</c:v>
                </c:pt>
                <c:pt idx="38">
                  <c:v>6.8399999999999972</c:v>
                </c:pt>
                <c:pt idx="39">
                  <c:v>7.0199999999999969</c:v>
                </c:pt>
                <c:pt idx="40">
                  <c:v>7.1999999999999966</c:v>
                </c:pt>
                <c:pt idx="41">
                  <c:v>7.3799999999999963</c:v>
                </c:pt>
                <c:pt idx="42">
                  <c:v>7.5599999999999961</c:v>
                </c:pt>
                <c:pt idx="43">
                  <c:v>7.7399999999999958</c:v>
                </c:pt>
                <c:pt idx="44">
                  <c:v>7.9199999999999955</c:v>
                </c:pt>
                <c:pt idx="45">
                  <c:v>8.0999999999999961</c:v>
                </c:pt>
                <c:pt idx="46">
                  <c:v>8.2799999999999958</c:v>
                </c:pt>
                <c:pt idx="47">
                  <c:v>8.4599999999999955</c:v>
                </c:pt>
                <c:pt idx="48">
                  <c:v>8.6399999999999952</c:v>
                </c:pt>
                <c:pt idx="49">
                  <c:v>8.819999999999995</c:v>
                </c:pt>
                <c:pt idx="50">
                  <c:v>8.9999999999999947</c:v>
                </c:pt>
                <c:pt idx="51">
                  <c:v>9.1799999999999944</c:v>
                </c:pt>
                <c:pt idx="52">
                  <c:v>9.3599999999999941</c:v>
                </c:pt>
                <c:pt idx="53">
                  <c:v>9.5399999999999938</c:v>
                </c:pt>
                <c:pt idx="54">
                  <c:v>9.7199999999999935</c:v>
                </c:pt>
                <c:pt idx="55">
                  <c:v>9.8999999999999932</c:v>
                </c:pt>
                <c:pt idx="56">
                  <c:v>10.079999999999993</c:v>
                </c:pt>
                <c:pt idx="57">
                  <c:v>10.259999999999993</c:v>
                </c:pt>
                <c:pt idx="58">
                  <c:v>10.439999999999992</c:v>
                </c:pt>
                <c:pt idx="59">
                  <c:v>10.619999999999992</c:v>
                </c:pt>
                <c:pt idx="60">
                  <c:v>10.799999999999992</c:v>
                </c:pt>
                <c:pt idx="61">
                  <c:v>10.979999999999992</c:v>
                </c:pt>
                <c:pt idx="62">
                  <c:v>11.159999999999991</c:v>
                </c:pt>
                <c:pt idx="63">
                  <c:v>11.339999999999991</c:v>
                </c:pt>
                <c:pt idx="64">
                  <c:v>11.519999999999991</c:v>
                </c:pt>
                <c:pt idx="65">
                  <c:v>11.69999999999999</c:v>
                </c:pt>
                <c:pt idx="66">
                  <c:v>11.87999999999999</c:v>
                </c:pt>
                <c:pt idx="67">
                  <c:v>12.05999999999999</c:v>
                </c:pt>
                <c:pt idx="68">
                  <c:v>12.23999999999999</c:v>
                </c:pt>
                <c:pt idx="69">
                  <c:v>12.419999999999989</c:v>
                </c:pt>
                <c:pt idx="70">
                  <c:v>12.599999999999989</c:v>
                </c:pt>
                <c:pt idx="71">
                  <c:v>12.779999999999989</c:v>
                </c:pt>
                <c:pt idx="72">
                  <c:v>12.959999999999988</c:v>
                </c:pt>
                <c:pt idx="73">
                  <c:v>13.139999999999988</c:v>
                </c:pt>
                <c:pt idx="74">
                  <c:v>13.319999999999988</c:v>
                </c:pt>
                <c:pt idx="75">
                  <c:v>13.499999999999988</c:v>
                </c:pt>
                <c:pt idx="76">
                  <c:v>13.679999999999987</c:v>
                </c:pt>
                <c:pt idx="77">
                  <c:v>13.859999999999987</c:v>
                </c:pt>
                <c:pt idx="78">
                  <c:v>14.039999999999987</c:v>
                </c:pt>
                <c:pt idx="79">
                  <c:v>14.219999999999986</c:v>
                </c:pt>
                <c:pt idx="80">
                  <c:v>14.399999999999986</c:v>
                </c:pt>
                <c:pt idx="81">
                  <c:v>14.579999999999986</c:v>
                </c:pt>
                <c:pt idx="82">
                  <c:v>14.759999999999986</c:v>
                </c:pt>
                <c:pt idx="83">
                  <c:v>14.939999999999985</c:v>
                </c:pt>
                <c:pt idx="84">
                  <c:v>15.119999999999985</c:v>
                </c:pt>
                <c:pt idx="85">
                  <c:v>15.299999999999985</c:v>
                </c:pt>
                <c:pt idx="86">
                  <c:v>15.479999999999984</c:v>
                </c:pt>
                <c:pt idx="87">
                  <c:v>15.659999999999984</c:v>
                </c:pt>
                <c:pt idx="88">
                  <c:v>15.839999999999984</c:v>
                </c:pt>
                <c:pt idx="89">
                  <c:v>16.019999999999985</c:v>
                </c:pt>
                <c:pt idx="90">
                  <c:v>16.199999999999985</c:v>
                </c:pt>
                <c:pt idx="91">
                  <c:v>16.379999999999985</c:v>
                </c:pt>
                <c:pt idx="92">
                  <c:v>16.559999999999985</c:v>
                </c:pt>
                <c:pt idx="93">
                  <c:v>16.739999999999984</c:v>
                </c:pt>
                <c:pt idx="94">
                  <c:v>16.919999999999984</c:v>
                </c:pt>
                <c:pt idx="95">
                  <c:v>17.099999999999984</c:v>
                </c:pt>
                <c:pt idx="96">
                  <c:v>17.279999999999983</c:v>
                </c:pt>
                <c:pt idx="97">
                  <c:v>17.459999999999983</c:v>
                </c:pt>
                <c:pt idx="98">
                  <c:v>17.639999999999983</c:v>
                </c:pt>
                <c:pt idx="99">
                  <c:v>17.819999999999983</c:v>
                </c:pt>
                <c:pt idx="100">
                  <c:v>17.999999999999982</c:v>
                </c:pt>
              </c:numCache>
            </c:numRef>
          </c:xVal>
          <c:yVal>
            <c:numRef>
              <c:f>'12662E_Geeraerd_Tail'!$C$24:$C$124</c:f>
              <c:numCache>
                <c:formatCode>0.00</c:formatCode>
                <c:ptCount val="101"/>
                <c:pt idx="0">
                  <c:v>6.4413325871654736</c:v>
                </c:pt>
                <c:pt idx="1">
                  <c:v>6.1964497502739979</c:v>
                </c:pt>
                <c:pt idx="2">
                  <c:v>5.9516977434859735</c:v>
                </c:pt>
                <c:pt idx="3">
                  <c:v>5.707175407957723</c:v>
                </c:pt>
                <c:pt idx="4">
                  <c:v>5.435967666455042</c:v>
                </c:pt>
                <c:pt idx="5">
                  <c:v>5.2196409487215449</c:v>
                </c:pt>
                <c:pt idx="6">
                  <c:v>4.9774551042557835</c:v>
                </c:pt>
                <c:pt idx="7">
                  <c:v>4.7373994518083711</c:v>
                </c:pt>
                <c:pt idx="8">
                  <c:v>4.5009973230284945</c:v>
                </c:pt>
                <c:pt idx="9">
                  <c:v>4.2707499045229085</c:v>
                </c:pt>
                <c:pt idx="10">
                  <c:v>4.0505645499625071</c:v>
                </c:pt>
                <c:pt idx="11">
                  <c:v>3.8460532837845633</c:v>
                </c:pt>
                <c:pt idx="12">
                  <c:v>3.6642208685475133</c:v>
                </c:pt>
                <c:pt idx="13">
                  <c:v>3.5119517938681404</c:v>
                </c:pt>
                <c:pt idx="14">
                  <c:v>3.3934210195823855</c:v>
                </c:pt>
                <c:pt idx="15">
                  <c:v>3.3080360948084713</c:v>
                </c:pt>
                <c:pt idx="16">
                  <c:v>3.250750520554778</c:v>
                </c:pt>
                <c:pt idx="17">
                  <c:v>3.2144449237209964</c:v>
                </c:pt>
                <c:pt idx="18">
                  <c:v>3.1923549405052047</c:v>
                </c:pt>
                <c:pt idx="19">
                  <c:v>3.1792704324346421</c:v>
                </c:pt>
                <c:pt idx="20">
                  <c:v>3.1716484866315446</c:v>
                </c:pt>
                <c:pt idx="21">
                  <c:v>3.1672528402176776</c:v>
                </c:pt>
                <c:pt idx="22">
                  <c:v>3.164732690913727</c:v>
                </c:pt>
                <c:pt idx="23">
                  <c:v>3.1632927286355206</c:v>
                </c:pt>
                <c:pt idx="24">
                  <c:v>3.1624715716583034</c:v>
                </c:pt>
                <c:pt idx="25">
                  <c:v>3.1620038202934428</c:v>
                </c:pt>
                <c:pt idx="26">
                  <c:v>3.1617375477002962</c:v>
                </c:pt>
                <c:pt idx="27">
                  <c:v>3.1615860242857323</c:v>
                </c:pt>
                <c:pt idx="28">
                  <c:v>3.1614998171941151</c:v>
                </c:pt>
                <c:pt idx="29">
                  <c:v>3.1614507766820901</c:v>
                </c:pt>
                <c:pt idx="30">
                  <c:v>3.1614228809449272</c:v>
                </c:pt>
                <c:pt idx="31">
                  <c:v>3.1614070136058618</c:v>
                </c:pt>
                <c:pt idx="32">
                  <c:v>3.1613979883208252</c:v>
                </c:pt>
                <c:pt idx="33">
                  <c:v>3.1613928548347978</c:v>
                </c:pt>
                <c:pt idx="34">
                  <c:v>3.1613899349831311</c:v>
                </c:pt>
                <c:pt idx="35">
                  <c:v>3.1613882742209074</c:v>
                </c:pt>
                <c:pt idx="36">
                  <c:v>3.1613873296096036</c:v>
                </c:pt>
                <c:pt idx="37">
                  <c:v>3.1613867923325936</c:v>
                </c:pt>
                <c:pt idx="38">
                  <c:v>3.1613864867398358</c:v>
                </c:pt>
                <c:pt idx="39">
                  <c:v>3.1613863129246669</c:v>
                </c:pt>
                <c:pt idx="40">
                  <c:v>3.1613862140620301</c:v>
                </c:pt>
                <c:pt idx="41">
                  <c:v>3.1613861578309215</c:v>
                </c:pt>
                <c:pt idx="42">
                  <c:v>3.161386125847784</c:v>
                </c:pt>
                <c:pt idx="43">
                  <c:v>3.1613861076564111</c:v>
                </c:pt>
                <c:pt idx="44">
                  <c:v>3.1613860973095202</c:v>
                </c:pt>
                <c:pt idx="45">
                  <c:v>3.161386091424415</c:v>
                </c:pt>
                <c:pt idx="46">
                  <c:v>3.1613860880770841</c:v>
                </c:pt>
                <c:pt idx="47">
                  <c:v>3.1613860861731888</c:v>
                </c:pt>
                <c:pt idx="48">
                  <c:v>3.1613860850902915</c:v>
                </c:pt>
                <c:pt idx="49">
                  <c:v>3.1613860844743611</c:v>
                </c:pt>
                <c:pt idx="50">
                  <c:v>3.161386084124032</c:v>
                </c:pt>
                <c:pt idx="51">
                  <c:v>3.1613860839247718</c:v>
                </c:pt>
                <c:pt idx="52">
                  <c:v>3.1613860838114363</c:v>
                </c:pt>
                <c:pt idx="53">
                  <c:v>3.1613860837469736</c:v>
                </c:pt>
                <c:pt idx="54">
                  <c:v>3.1613860837103083</c:v>
                </c:pt>
                <c:pt idx="55">
                  <c:v>3.1613860836894538</c:v>
                </c:pt>
                <c:pt idx="56">
                  <c:v>3.1613860836775927</c:v>
                </c:pt>
                <c:pt idx="57">
                  <c:v>3.1613860836708456</c:v>
                </c:pt>
                <c:pt idx="58">
                  <c:v>3.1613860836670087</c:v>
                </c:pt>
                <c:pt idx="59">
                  <c:v>3.161386083664826</c:v>
                </c:pt>
                <c:pt idx="60">
                  <c:v>3.1613860836635843</c:v>
                </c:pt>
                <c:pt idx="61">
                  <c:v>3.1613860836628782</c:v>
                </c:pt>
                <c:pt idx="62">
                  <c:v>3.1613860836624768</c:v>
                </c:pt>
                <c:pt idx="63">
                  <c:v>3.1613860836622485</c:v>
                </c:pt>
                <c:pt idx="64">
                  <c:v>3.1613860836621184</c:v>
                </c:pt>
                <c:pt idx="65">
                  <c:v>3.1613860836620447</c:v>
                </c:pt>
                <c:pt idx="66">
                  <c:v>3.1613860836620025</c:v>
                </c:pt>
                <c:pt idx="67">
                  <c:v>3.1613860836619785</c:v>
                </c:pt>
                <c:pt idx="68">
                  <c:v>3.1613860836619647</c:v>
                </c:pt>
                <c:pt idx="69">
                  <c:v>3.1613860836619572</c:v>
                </c:pt>
                <c:pt idx="70">
                  <c:v>3.1613860836619527</c:v>
                </c:pt>
                <c:pt idx="71">
                  <c:v>3.1613860836619501</c:v>
                </c:pt>
                <c:pt idx="72">
                  <c:v>3.1613860836619487</c:v>
                </c:pt>
                <c:pt idx="73">
                  <c:v>3.1613860836619483</c:v>
                </c:pt>
                <c:pt idx="74">
                  <c:v>3.1613860836619478</c:v>
                </c:pt>
                <c:pt idx="75">
                  <c:v>3.1613860836619474</c:v>
                </c:pt>
                <c:pt idx="76">
                  <c:v>3.1613860836619474</c:v>
                </c:pt>
                <c:pt idx="77">
                  <c:v>3.161386083661947</c:v>
                </c:pt>
                <c:pt idx="78">
                  <c:v>3.161386083661947</c:v>
                </c:pt>
                <c:pt idx="79">
                  <c:v>3.161386083661947</c:v>
                </c:pt>
                <c:pt idx="80">
                  <c:v>3.161386083661947</c:v>
                </c:pt>
                <c:pt idx="81">
                  <c:v>3.161386083661947</c:v>
                </c:pt>
                <c:pt idx="82">
                  <c:v>3.161386083661947</c:v>
                </c:pt>
                <c:pt idx="83">
                  <c:v>3.161386083661947</c:v>
                </c:pt>
                <c:pt idx="84">
                  <c:v>3.161386083661947</c:v>
                </c:pt>
                <c:pt idx="85">
                  <c:v>3.161386083661947</c:v>
                </c:pt>
                <c:pt idx="86">
                  <c:v>3.161386083661947</c:v>
                </c:pt>
                <c:pt idx="87">
                  <c:v>3.161386083661947</c:v>
                </c:pt>
                <c:pt idx="88">
                  <c:v>3.161386083661947</c:v>
                </c:pt>
                <c:pt idx="89">
                  <c:v>3.161386083661947</c:v>
                </c:pt>
                <c:pt idx="90">
                  <c:v>3.161386083661947</c:v>
                </c:pt>
                <c:pt idx="91">
                  <c:v>3.161386083661947</c:v>
                </c:pt>
                <c:pt idx="92">
                  <c:v>3.161386083661947</c:v>
                </c:pt>
                <c:pt idx="93">
                  <c:v>3.161386083661947</c:v>
                </c:pt>
                <c:pt idx="94">
                  <c:v>3.161386083661947</c:v>
                </c:pt>
                <c:pt idx="95">
                  <c:v>3.161386083661947</c:v>
                </c:pt>
                <c:pt idx="96">
                  <c:v>3.161386083661947</c:v>
                </c:pt>
                <c:pt idx="97">
                  <c:v>3.161386083661947</c:v>
                </c:pt>
                <c:pt idx="98">
                  <c:v>3.161386083661947</c:v>
                </c:pt>
                <c:pt idx="99">
                  <c:v>3.161386083661947</c:v>
                </c:pt>
                <c:pt idx="100">
                  <c:v>3.161386083661947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26704"/>
        <c:axId val="359327088"/>
      </c:scatterChart>
      <c:valAx>
        <c:axId val="3593267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327088"/>
        <c:crosses val="autoZero"/>
        <c:crossBetween val="midCat"/>
      </c:valAx>
      <c:valAx>
        <c:axId val="35932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59326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'13136_Log_Linear'!$A$2:$A$13</c:f>
              <c:numCache>
                <c:formatCode>0.00</c:formatCode>
                <c:ptCount val="12"/>
                <c:pt idx="0">
                  <c:v>0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0</c:v>
                </c:pt>
                <c:pt idx="5">
                  <c:v>14</c:v>
                </c:pt>
                <c:pt idx="6">
                  <c:v>18</c:v>
                </c:pt>
                <c:pt idx="7">
                  <c:v>22</c:v>
                </c:pt>
                <c:pt idx="8">
                  <c:v>0</c:v>
                </c:pt>
                <c:pt idx="9">
                  <c:v>14</c:v>
                </c:pt>
                <c:pt idx="10">
                  <c:v>18</c:v>
                </c:pt>
                <c:pt idx="11">
                  <c:v>22</c:v>
                </c:pt>
              </c:numCache>
            </c:numRef>
          </c:xVal>
          <c:yVal>
            <c:numRef>
              <c:f>'13136_Log_Linear'!$B$2:$B$13</c:f>
              <c:numCache>
                <c:formatCode>0.00</c:formatCode>
                <c:ptCount val="12"/>
                <c:pt idx="0">
                  <c:v>7</c:v>
                </c:pt>
                <c:pt idx="1">
                  <c:v>3.2108533653148932</c:v>
                </c:pt>
                <c:pt idx="2">
                  <c:v>3.4586378490256493</c:v>
                </c:pt>
                <c:pt idx="3">
                  <c:v>2.6283889300503116</c:v>
                </c:pt>
                <c:pt idx="4">
                  <c:v>6.568201724066995</c:v>
                </c:pt>
                <c:pt idx="5">
                  <c:v>3.9542425094393248</c:v>
                </c:pt>
                <c:pt idx="6">
                  <c:v>3.5882717068423289</c:v>
                </c:pt>
                <c:pt idx="7">
                  <c:v>2.5593080109070123</c:v>
                </c:pt>
                <c:pt idx="8">
                  <c:v>6.6989700043360187</c:v>
                </c:pt>
                <c:pt idx="9">
                  <c:v>3.0969100130080562</c:v>
                </c:pt>
                <c:pt idx="10">
                  <c:v>2.7403626894942437</c:v>
                </c:pt>
                <c:pt idx="11">
                  <c:v>2.9294189257142929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'13136_Log_Linear'!$A$17:$A$117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'13136_Log_Linear'!$C$17:$C$117</c:f>
              <c:numCache>
                <c:formatCode>0.00</c:formatCode>
                <c:ptCount val="101"/>
                <c:pt idx="0">
                  <c:v>6.5796549296862628</c:v>
                </c:pt>
                <c:pt idx="1">
                  <c:v>6.5382049016018575</c:v>
                </c:pt>
                <c:pt idx="2">
                  <c:v>6.4967548735174514</c:v>
                </c:pt>
                <c:pt idx="3">
                  <c:v>6.4553048454330462</c:v>
                </c:pt>
                <c:pt idx="4">
                  <c:v>6.41385481734864</c:v>
                </c:pt>
                <c:pt idx="5">
                  <c:v>6.3724047892642348</c:v>
                </c:pt>
                <c:pt idx="6">
                  <c:v>6.3309547611798287</c:v>
                </c:pt>
                <c:pt idx="7">
                  <c:v>6.2895047330954235</c:v>
                </c:pt>
                <c:pt idx="8">
                  <c:v>6.2480547050110182</c:v>
                </c:pt>
                <c:pt idx="9">
                  <c:v>6.2066046769266121</c:v>
                </c:pt>
                <c:pt idx="10">
                  <c:v>6.1651546488422069</c:v>
                </c:pt>
                <c:pt idx="11">
                  <c:v>6.1237046207578008</c:v>
                </c:pt>
                <c:pt idx="12">
                  <c:v>6.0822545926733955</c:v>
                </c:pt>
                <c:pt idx="13">
                  <c:v>6.0408045645889903</c:v>
                </c:pt>
                <c:pt idx="14">
                  <c:v>5.9993545365045842</c:v>
                </c:pt>
                <c:pt idx="15">
                  <c:v>5.957904508420178</c:v>
                </c:pt>
                <c:pt idx="16">
                  <c:v>5.9164544803357728</c:v>
                </c:pt>
                <c:pt idx="17">
                  <c:v>5.8750044522513676</c:v>
                </c:pt>
                <c:pt idx="18">
                  <c:v>5.8335544241669615</c:v>
                </c:pt>
                <c:pt idx="19">
                  <c:v>5.7921043960825562</c:v>
                </c:pt>
                <c:pt idx="20">
                  <c:v>5.7506543679981501</c:v>
                </c:pt>
                <c:pt idx="21">
                  <c:v>5.7092043399137449</c:v>
                </c:pt>
                <c:pt idx="22">
                  <c:v>5.6677543118293396</c:v>
                </c:pt>
                <c:pt idx="23">
                  <c:v>5.6263042837449335</c:v>
                </c:pt>
                <c:pt idx="24">
                  <c:v>5.5848542556605283</c:v>
                </c:pt>
                <c:pt idx="25">
                  <c:v>5.5434042275761231</c:v>
                </c:pt>
                <c:pt idx="26">
                  <c:v>5.5019541994917169</c:v>
                </c:pt>
                <c:pt idx="27">
                  <c:v>5.4605041714073117</c:v>
                </c:pt>
                <c:pt idx="28">
                  <c:v>5.4190541433229065</c:v>
                </c:pt>
                <c:pt idx="29">
                  <c:v>5.3776041152385003</c:v>
                </c:pt>
                <c:pt idx="30">
                  <c:v>5.3361540871540951</c:v>
                </c:pt>
                <c:pt idx="31">
                  <c:v>5.294704059069689</c:v>
                </c:pt>
                <c:pt idx="32">
                  <c:v>5.2532540309852838</c:v>
                </c:pt>
                <c:pt idx="33">
                  <c:v>5.2118040029008785</c:v>
                </c:pt>
                <c:pt idx="34">
                  <c:v>5.1703539748164733</c:v>
                </c:pt>
                <c:pt idx="35">
                  <c:v>5.1289039467320672</c:v>
                </c:pt>
                <c:pt idx="36">
                  <c:v>5.0874539186476611</c:v>
                </c:pt>
                <c:pt idx="37">
                  <c:v>5.0460038905632558</c:v>
                </c:pt>
                <c:pt idx="38">
                  <c:v>5.0045538624788506</c:v>
                </c:pt>
                <c:pt idx="39">
                  <c:v>4.9631038343944445</c:v>
                </c:pt>
                <c:pt idx="40">
                  <c:v>4.9216538063100392</c:v>
                </c:pt>
                <c:pt idx="41">
                  <c:v>4.8802037782256331</c:v>
                </c:pt>
                <c:pt idx="42">
                  <c:v>4.838753750141227</c:v>
                </c:pt>
                <c:pt idx="43">
                  <c:v>4.7973037220568218</c:v>
                </c:pt>
                <c:pt idx="44">
                  <c:v>4.7558536939724156</c:v>
                </c:pt>
                <c:pt idx="45">
                  <c:v>4.7144036658880104</c:v>
                </c:pt>
                <c:pt idx="46">
                  <c:v>4.6729536378036043</c:v>
                </c:pt>
                <c:pt idx="47">
                  <c:v>4.6315036097191991</c:v>
                </c:pt>
                <c:pt idx="48">
                  <c:v>4.5900535816347929</c:v>
                </c:pt>
                <c:pt idx="49">
                  <c:v>4.5486035535503877</c:v>
                </c:pt>
                <c:pt idx="50">
                  <c:v>4.5071535254659816</c:v>
                </c:pt>
                <c:pt idx="51">
                  <c:v>4.4657034973815755</c:v>
                </c:pt>
                <c:pt idx="52">
                  <c:v>4.4242534692971702</c:v>
                </c:pt>
                <c:pt idx="53">
                  <c:v>4.382803441212765</c:v>
                </c:pt>
                <c:pt idx="54">
                  <c:v>4.3413534131283589</c:v>
                </c:pt>
                <c:pt idx="55">
                  <c:v>4.2999033850439528</c:v>
                </c:pt>
                <c:pt idx="56">
                  <c:v>4.2584533569595475</c:v>
                </c:pt>
                <c:pt idx="57">
                  <c:v>4.2170033288751423</c:v>
                </c:pt>
                <c:pt idx="58">
                  <c:v>4.1755533007907362</c:v>
                </c:pt>
                <c:pt idx="59">
                  <c:v>4.13410327270633</c:v>
                </c:pt>
                <c:pt idx="60">
                  <c:v>4.0926532446219248</c:v>
                </c:pt>
                <c:pt idx="61">
                  <c:v>4.0512032165375187</c:v>
                </c:pt>
                <c:pt idx="62">
                  <c:v>4.0097531884531126</c:v>
                </c:pt>
                <c:pt idx="63">
                  <c:v>3.9683031603687073</c:v>
                </c:pt>
                <c:pt idx="64">
                  <c:v>3.9268531322843017</c:v>
                </c:pt>
                <c:pt idx="65">
                  <c:v>3.885403104199896</c:v>
                </c:pt>
                <c:pt idx="66">
                  <c:v>3.8439530761154899</c:v>
                </c:pt>
                <c:pt idx="67">
                  <c:v>3.8025030480310842</c:v>
                </c:pt>
                <c:pt idx="68">
                  <c:v>3.7610530199466785</c:v>
                </c:pt>
                <c:pt idx="69">
                  <c:v>3.7196029918622728</c:v>
                </c:pt>
                <c:pt idx="70">
                  <c:v>3.6781529637778672</c:v>
                </c:pt>
                <c:pt idx="71">
                  <c:v>3.6367029356934615</c:v>
                </c:pt>
                <c:pt idx="72">
                  <c:v>3.5952529076090558</c:v>
                </c:pt>
                <c:pt idx="73">
                  <c:v>3.5538028795246501</c:v>
                </c:pt>
                <c:pt idx="74">
                  <c:v>3.5123528514402445</c:v>
                </c:pt>
                <c:pt idx="75">
                  <c:v>3.4709028233558392</c:v>
                </c:pt>
                <c:pt idx="76">
                  <c:v>3.429452795271434</c:v>
                </c:pt>
                <c:pt idx="77">
                  <c:v>3.3880027671870288</c:v>
                </c:pt>
                <c:pt idx="78">
                  <c:v>3.3465527391026231</c:v>
                </c:pt>
                <c:pt idx="79">
                  <c:v>3.3051027110182178</c:v>
                </c:pt>
                <c:pt idx="80">
                  <c:v>3.2636526829338122</c:v>
                </c:pt>
                <c:pt idx="81">
                  <c:v>3.2222026548494069</c:v>
                </c:pt>
                <c:pt idx="82">
                  <c:v>3.1807526267650017</c:v>
                </c:pt>
                <c:pt idx="83">
                  <c:v>3.139302598680596</c:v>
                </c:pt>
                <c:pt idx="84">
                  <c:v>3.0978525705961912</c:v>
                </c:pt>
                <c:pt idx="85">
                  <c:v>3.0564025425117856</c:v>
                </c:pt>
                <c:pt idx="86">
                  <c:v>3.0149525144273794</c:v>
                </c:pt>
                <c:pt idx="87">
                  <c:v>2.9735024863429746</c:v>
                </c:pt>
                <c:pt idx="88">
                  <c:v>2.932052458258569</c:v>
                </c:pt>
                <c:pt idx="89">
                  <c:v>2.8906024301741642</c:v>
                </c:pt>
                <c:pt idx="90">
                  <c:v>2.8491524020897585</c:v>
                </c:pt>
                <c:pt idx="91">
                  <c:v>2.8077023740053533</c:v>
                </c:pt>
                <c:pt idx="92">
                  <c:v>2.7662523459209476</c:v>
                </c:pt>
                <c:pt idx="93">
                  <c:v>2.7248023178365419</c:v>
                </c:pt>
                <c:pt idx="94">
                  <c:v>2.6833522897521371</c:v>
                </c:pt>
                <c:pt idx="95">
                  <c:v>2.6419022616677315</c:v>
                </c:pt>
                <c:pt idx="96">
                  <c:v>2.6004522335833262</c:v>
                </c:pt>
                <c:pt idx="97">
                  <c:v>2.5590022054989205</c:v>
                </c:pt>
                <c:pt idx="98">
                  <c:v>2.5175521774145153</c:v>
                </c:pt>
                <c:pt idx="99">
                  <c:v>2.4761021493301101</c:v>
                </c:pt>
                <c:pt idx="100">
                  <c:v>2.434652121245704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76992"/>
        <c:axId val="359252160"/>
      </c:scatterChart>
      <c:valAx>
        <c:axId val="359076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252160"/>
        <c:crosses val="autoZero"/>
        <c:crossBetween val="midCat"/>
      </c:valAx>
      <c:valAx>
        <c:axId val="359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7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11642</xdr:colOff>
      <xdr:row>16</xdr:row>
      <xdr:rowOff>3704</xdr:rowOff>
    </xdr:from>
    <xdr:to>
      <xdr:col>14</xdr:col>
      <xdr:colOff>53842</xdr:colOff>
      <xdr:row>37</xdr:row>
      <xdr:rowOff>85604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14</xdr:row>
      <xdr:rowOff>182562</xdr:rowOff>
    </xdr:from>
    <xdr:to>
      <xdr:col>14</xdr:col>
      <xdr:colOff>73950</xdr:colOff>
      <xdr:row>36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</xdr:colOff>
      <xdr:row>15</xdr:row>
      <xdr:rowOff>183621</xdr:rowOff>
    </xdr:from>
    <xdr:to>
      <xdr:col>13</xdr:col>
      <xdr:colOff>530091</xdr:colOff>
      <xdr:row>37</xdr:row>
      <xdr:rowOff>75021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612775</xdr:colOff>
      <xdr:row>16</xdr:row>
      <xdr:rowOff>8467</xdr:rowOff>
    </xdr:from>
    <xdr:to>
      <xdr:col>14</xdr:col>
      <xdr:colOff>39025</xdr:colOff>
      <xdr:row>37</xdr:row>
      <xdr:rowOff>90367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="90" zoomScaleNormal="90" workbookViewId="0"/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0</v>
      </c>
      <c r="B2" s="2">
        <f>LOG10(3*10^6)</f>
        <v>6.4771212547196626</v>
      </c>
      <c r="C2" s="1">
        <v>12628</v>
      </c>
      <c r="D2" s="1" t="s">
        <v>4</v>
      </c>
    </row>
    <row r="3" spans="1:4" x14ac:dyDescent="0.25">
      <c r="A3" s="1">
        <v>2</v>
      </c>
      <c r="B3" s="2">
        <f>LOG10(3*10^3)</f>
        <v>3.4771212547196626</v>
      </c>
      <c r="C3" s="1">
        <v>12628</v>
      </c>
      <c r="D3" s="1" t="s">
        <v>4</v>
      </c>
    </row>
    <row r="4" spans="1:4" x14ac:dyDescent="0.25">
      <c r="A4" s="1">
        <v>4</v>
      </c>
      <c r="B4" s="2">
        <f>LOG10(5.125*10^3)</f>
        <v>3.7096938697277917</v>
      </c>
      <c r="C4" s="1">
        <v>12628</v>
      </c>
      <c r="D4" s="1" t="s">
        <v>4</v>
      </c>
    </row>
    <row r="5" spans="1:4" x14ac:dyDescent="0.25">
      <c r="A5" s="1">
        <v>6</v>
      </c>
      <c r="B5" s="2">
        <f>LOG10(2.125*10^3)</f>
        <v>3.3273589343863303</v>
      </c>
      <c r="C5" s="1">
        <v>12628</v>
      </c>
      <c r="D5" s="1" t="s">
        <v>4</v>
      </c>
    </row>
    <row r="6" spans="1:4" x14ac:dyDescent="0.25">
      <c r="A6" s="1">
        <v>10</v>
      </c>
      <c r="B6" s="2">
        <f>LOG10(10.25*10^2)</f>
        <v>3.0107238653917729</v>
      </c>
      <c r="C6" s="1">
        <v>12628</v>
      </c>
      <c r="D6" s="1" t="s">
        <v>4</v>
      </c>
    </row>
    <row r="7" spans="1:4" x14ac:dyDescent="0.25">
      <c r="A7" s="1">
        <v>14</v>
      </c>
      <c r="B7" s="2">
        <f>LOG10(8.25*10^2)</f>
        <v>2.916453948549925</v>
      </c>
      <c r="C7" s="1">
        <v>12628</v>
      </c>
      <c r="D7" s="1" t="s">
        <v>4</v>
      </c>
    </row>
    <row r="8" spans="1:4" x14ac:dyDescent="0.25">
      <c r="A8" s="8">
        <v>18</v>
      </c>
      <c r="B8" s="2">
        <f>LOG10(20.25*10^2)</f>
        <v>3.3064250275506875</v>
      </c>
      <c r="C8" s="1">
        <v>12628</v>
      </c>
      <c r="D8" s="1" t="s">
        <v>4</v>
      </c>
    </row>
    <row r="9" spans="1:4" x14ac:dyDescent="0.25">
      <c r="A9" s="1">
        <v>0</v>
      </c>
      <c r="B9" s="2">
        <f>LOG10(4*10^6)</f>
        <v>6.6020599913279625</v>
      </c>
      <c r="C9" s="1">
        <v>12628</v>
      </c>
      <c r="D9" s="1" t="s">
        <v>5</v>
      </c>
    </row>
    <row r="10" spans="1:4" x14ac:dyDescent="0.25">
      <c r="A10" s="1">
        <v>2</v>
      </c>
      <c r="B10" s="2">
        <f>LOG10(1.13*10^4)</f>
        <v>4.0530784434834199</v>
      </c>
      <c r="C10" s="1">
        <v>12628</v>
      </c>
      <c r="D10" s="1" t="s">
        <v>5</v>
      </c>
    </row>
    <row r="11" spans="1:4" x14ac:dyDescent="0.25">
      <c r="A11" s="1">
        <v>4</v>
      </c>
      <c r="B11" s="2">
        <f>LOG10(2*10^3)</f>
        <v>3.3010299956639813</v>
      </c>
      <c r="C11" s="1">
        <v>12628</v>
      </c>
      <c r="D11" s="1" t="s">
        <v>5</v>
      </c>
    </row>
    <row r="12" spans="1:4" x14ac:dyDescent="0.25">
      <c r="A12" s="1">
        <v>6</v>
      </c>
      <c r="B12" s="2">
        <f>LOG10(2.625*10^3)</f>
        <v>3.4191293077419758</v>
      </c>
      <c r="C12" s="1">
        <v>12628</v>
      </c>
      <c r="D12" s="1" t="s">
        <v>5</v>
      </c>
    </row>
    <row r="13" spans="1:4" x14ac:dyDescent="0.25">
      <c r="A13" s="1">
        <v>10</v>
      </c>
      <c r="B13" s="2">
        <f>LOG10(1.275*10^3)</f>
        <v>3.1055101847699738</v>
      </c>
      <c r="C13" s="1">
        <v>12628</v>
      </c>
      <c r="D13" s="1" t="s">
        <v>5</v>
      </c>
    </row>
    <row r="14" spans="1:4" x14ac:dyDescent="0.25">
      <c r="A14" s="1">
        <v>14</v>
      </c>
      <c r="B14" s="2">
        <f>LOG10(8.75*10^2)</f>
        <v>2.9420080530223132</v>
      </c>
      <c r="C14" s="1">
        <v>12628</v>
      </c>
      <c r="D14" s="1" t="s">
        <v>5</v>
      </c>
    </row>
    <row r="15" spans="1:4" x14ac:dyDescent="0.25">
      <c r="A15" s="8">
        <v>18</v>
      </c>
      <c r="B15" s="2">
        <f>LOG10(5.125*10^2)</f>
        <v>2.7096938697277917</v>
      </c>
      <c r="C15" s="1">
        <v>12628</v>
      </c>
      <c r="D15" s="1" t="s">
        <v>5</v>
      </c>
    </row>
    <row r="16" spans="1:4" x14ac:dyDescent="0.25">
      <c r="A16" s="1">
        <v>0</v>
      </c>
      <c r="B16" s="2">
        <f>LOG10(3*10^6)</f>
        <v>6.4771212547196626</v>
      </c>
      <c r="C16" s="1">
        <v>12628</v>
      </c>
      <c r="D16" s="1" t="s">
        <v>6</v>
      </c>
    </row>
    <row r="17" spans="1:4" x14ac:dyDescent="0.25">
      <c r="A17" s="1">
        <v>2</v>
      </c>
      <c r="B17" s="2">
        <f>LOG10(1.33*10^4)</f>
        <v>4.1238516409670858</v>
      </c>
      <c r="C17" s="1">
        <v>12628</v>
      </c>
      <c r="D17" s="1" t="s">
        <v>6</v>
      </c>
    </row>
    <row r="18" spans="1:4" x14ac:dyDescent="0.25">
      <c r="A18" s="1">
        <v>4</v>
      </c>
      <c r="B18" s="2">
        <f>LOG10(4.625*10^2)</f>
        <v>2.6651117370750512</v>
      </c>
      <c r="C18" s="1">
        <v>12628</v>
      </c>
      <c r="D18" s="1" t="s">
        <v>6</v>
      </c>
    </row>
    <row r="19" spans="1:4" x14ac:dyDescent="0.25">
      <c r="A19" s="1">
        <v>6</v>
      </c>
      <c r="B19" s="2">
        <f>LOG10(3.125*10^3)</f>
        <v>3.4948500216800942</v>
      </c>
      <c r="C19" s="1">
        <v>12628</v>
      </c>
      <c r="D19" s="1" t="s">
        <v>6</v>
      </c>
    </row>
    <row r="20" spans="1:4" x14ac:dyDescent="0.25">
      <c r="A20" s="1">
        <v>10</v>
      </c>
      <c r="B20" s="2">
        <f>LOG10(5*10^2)</f>
        <v>2.6989700043360187</v>
      </c>
      <c r="C20" s="1">
        <v>12628</v>
      </c>
      <c r="D20" s="1" t="s">
        <v>6</v>
      </c>
    </row>
    <row r="21" spans="1:4" x14ac:dyDescent="0.25">
      <c r="A21" s="1">
        <v>14</v>
      </c>
      <c r="B21" s="2">
        <f>LOG10(1.15*10^3)</f>
        <v>3.0606978403536118</v>
      </c>
      <c r="C21" s="1">
        <v>12628</v>
      </c>
      <c r="D21" s="1" t="s">
        <v>6</v>
      </c>
    </row>
    <row r="22" spans="1:4" x14ac:dyDescent="0.25">
      <c r="A22" s="8">
        <v>18</v>
      </c>
      <c r="B22" s="2">
        <f>LOG10(1.225*10^3)</f>
        <v>3.0881360887005513</v>
      </c>
      <c r="C22" s="1">
        <v>12628</v>
      </c>
      <c r="D22" s="1" t="s">
        <v>6</v>
      </c>
    </row>
    <row r="23" spans="1:4" x14ac:dyDescent="0.25">
      <c r="A23" s="1">
        <v>0</v>
      </c>
      <c r="B23" s="2">
        <f>LOG10(2.47*10^6)</f>
        <v>6.3926969532596658</v>
      </c>
      <c r="C23" s="1">
        <v>12662</v>
      </c>
      <c r="D23" s="1" t="s">
        <v>5</v>
      </c>
    </row>
    <row r="24" spans="1:4" x14ac:dyDescent="0.25">
      <c r="A24" s="1">
        <v>2</v>
      </c>
      <c r="B24" s="2">
        <f>LOG10(1.63*10^4)</f>
        <v>4.2121876044039581</v>
      </c>
      <c r="C24" s="1">
        <v>12662</v>
      </c>
      <c r="D24" s="1" t="s">
        <v>5</v>
      </c>
    </row>
    <row r="25" spans="1:4" x14ac:dyDescent="0.25">
      <c r="A25" s="1">
        <v>4</v>
      </c>
      <c r="B25" s="2">
        <f>LOG10(5.75*10^3)</f>
        <v>3.7596678446896306</v>
      </c>
      <c r="C25" s="1">
        <v>12662</v>
      </c>
      <c r="D25" s="1" t="s">
        <v>5</v>
      </c>
    </row>
    <row r="26" spans="1:4" x14ac:dyDescent="0.25">
      <c r="A26" s="1">
        <v>6</v>
      </c>
      <c r="B26" s="2">
        <f>LOG10(10.25*10^3)</f>
        <v>4.0107238653917729</v>
      </c>
      <c r="C26" s="1">
        <v>12662</v>
      </c>
      <c r="D26" s="1" t="s">
        <v>5</v>
      </c>
    </row>
    <row r="27" spans="1:4" x14ac:dyDescent="0.25">
      <c r="A27" s="1">
        <v>10</v>
      </c>
      <c r="B27" s="2">
        <f>LOG10(2.875*10^3)</f>
        <v>3.4586378490256493</v>
      </c>
      <c r="C27" s="1">
        <v>12662</v>
      </c>
      <c r="D27" s="1" t="s">
        <v>5</v>
      </c>
    </row>
    <row r="28" spans="1:4" x14ac:dyDescent="0.25">
      <c r="A28" s="1">
        <v>14</v>
      </c>
      <c r="B28" s="2">
        <f>LOG10(1.775*10^3)</f>
        <v>3.249198357391113</v>
      </c>
      <c r="C28" s="1">
        <v>12662</v>
      </c>
      <c r="D28" s="1" t="s">
        <v>5</v>
      </c>
    </row>
    <row r="29" spans="1:4" x14ac:dyDescent="0.25">
      <c r="A29" s="1">
        <v>0</v>
      </c>
      <c r="B29" s="2">
        <f>LOG10(3.3*10^6)</f>
        <v>6.5185139398778871</v>
      </c>
      <c r="C29" s="1">
        <v>12662</v>
      </c>
      <c r="D29" s="1" t="s">
        <v>6</v>
      </c>
    </row>
    <row r="30" spans="1:4" x14ac:dyDescent="0.25">
      <c r="A30" s="1">
        <v>2</v>
      </c>
      <c r="B30" s="2">
        <f>LOG10(1.7*10^3)</f>
        <v>3.2304489213782741</v>
      </c>
      <c r="C30" s="1">
        <v>12662</v>
      </c>
      <c r="D30" s="1" t="s">
        <v>6</v>
      </c>
    </row>
    <row r="31" spans="1:4" x14ac:dyDescent="0.25">
      <c r="A31" s="1">
        <v>4</v>
      </c>
      <c r="B31" s="2">
        <f>LOG10(8.25*10^3)</f>
        <v>3.916453948549925</v>
      </c>
      <c r="C31" s="1">
        <v>12662</v>
      </c>
      <c r="D31" s="1" t="s">
        <v>6</v>
      </c>
    </row>
    <row r="32" spans="1:4" x14ac:dyDescent="0.25">
      <c r="A32" s="1">
        <v>6</v>
      </c>
      <c r="B32" s="2">
        <f>LOG10(9.25*10^2)</f>
        <v>2.9661417327390325</v>
      </c>
      <c r="C32" s="1">
        <v>12662</v>
      </c>
      <c r="D32" s="1" t="s">
        <v>6</v>
      </c>
    </row>
    <row r="33" spans="1:4" x14ac:dyDescent="0.25">
      <c r="A33" s="1">
        <v>10</v>
      </c>
      <c r="B33" s="2">
        <f>LOG10(7*10^2)</f>
        <v>2.8450980400142569</v>
      </c>
      <c r="C33" s="1">
        <v>12662</v>
      </c>
      <c r="D33" s="1" t="s">
        <v>6</v>
      </c>
    </row>
    <row r="34" spans="1:4" x14ac:dyDescent="0.25">
      <c r="A34" s="8">
        <v>18</v>
      </c>
      <c r="B34" s="2">
        <f>LOG10(5.375*10^2)</f>
        <v>2.7303784685876429</v>
      </c>
      <c r="C34" s="1">
        <v>12662</v>
      </c>
      <c r="D34" s="1" t="s">
        <v>6</v>
      </c>
    </row>
    <row r="35" spans="1:4" x14ac:dyDescent="0.25">
      <c r="A35" s="1">
        <v>0</v>
      </c>
      <c r="B35" s="2">
        <f>LOG10(2.63*10^6)</f>
        <v>6.419955748489758</v>
      </c>
      <c r="C35" s="1">
        <v>12662</v>
      </c>
      <c r="D35" s="1" t="s">
        <v>32</v>
      </c>
    </row>
    <row r="36" spans="1:4" x14ac:dyDescent="0.25">
      <c r="A36" s="1">
        <v>2</v>
      </c>
      <c r="B36" s="2">
        <f>LOG10(1.03*10^4)</f>
        <v>4.012837224705172</v>
      </c>
      <c r="C36" s="1">
        <v>12662</v>
      </c>
      <c r="D36" s="1" t="s">
        <v>32</v>
      </c>
    </row>
    <row r="37" spans="1:4" x14ac:dyDescent="0.25">
      <c r="A37" s="1">
        <v>4</v>
      </c>
      <c r="B37" s="2">
        <f>LOG10(7.5*10^2)</f>
        <v>2.8750612633917001</v>
      </c>
      <c r="C37" s="1">
        <v>12662</v>
      </c>
      <c r="D37" s="1" t="s">
        <v>32</v>
      </c>
    </row>
    <row r="38" spans="1:4" x14ac:dyDescent="0.25">
      <c r="A38" s="1">
        <v>6</v>
      </c>
      <c r="B38" s="2">
        <f>LOG10(1.75*10^2)</f>
        <v>2.2430380486862944</v>
      </c>
      <c r="C38" s="1">
        <v>12662</v>
      </c>
      <c r="D38" s="1" t="s">
        <v>32</v>
      </c>
    </row>
    <row r="39" spans="1:4" x14ac:dyDescent="0.25">
      <c r="A39" s="1">
        <v>10</v>
      </c>
      <c r="B39" s="2">
        <f>LOG10(6.5*10^2)</f>
        <v>2.8129133566428557</v>
      </c>
      <c r="C39" s="1">
        <v>12662</v>
      </c>
      <c r="D39" s="1" t="s">
        <v>32</v>
      </c>
    </row>
    <row r="40" spans="1:4" x14ac:dyDescent="0.25">
      <c r="A40" s="1">
        <v>14</v>
      </c>
      <c r="B40" s="2">
        <f>LOG10(9.5*10^2)</f>
        <v>2.9777236052888476</v>
      </c>
      <c r="C40" s="1">
        <v>12662</v>
      </c>
      <c r="D40" s="1" t="s">
        <v>32</v>
      </c>
    </row>
    <row r="41" spans="1:4" x14ac:dyDescent="0.25">
      <c r="A41" s="8">
        <v>18</v>
      </c>
      <c r="B41" s="2">
        <f>LOG10(1.875*10^3)</f>
        <v>3.2730012720637376</v>
      </c>
      <c r="C41" s="1">
        <v>12662</v>
      </c>
      <c r="D41" s="1" t="s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sqref="A1:D13"/>
    </sheetView>
  </sheetViews>
  <sheetFormatPr defaultRowHeight="15" x14ac:dyDescent="0.25"/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0</v>
      </c>
      <c r="B2" s="2">
        <v>7</v>
      </c>
      <c r="C2" s="1">
        <v>13136</v>
      </c>
      <c r="D2" t="s">
        <v>4</v>
      </c>
    </row>
    <row r="3" spans="1:4" x14ac:dyDescent="0.25">
      <c r="A3" s="1">
        <v>14</v>
      </c>
      <c r="B3" s="2">
        <f>LOG10(1.625*10^3)</f>
        <v>3.2108533653148932</v>
      </c>
      <c r="C3" s="1">
        <v>13136</v>
      </c>
      <c r="D3" t="s">
        <v>4</v>
      </c>
    </row>
    <row r="4" spans="1:4" x14ac:dyDescent="0.25">
      <c r="A4" s="1">
        <v>18</v>
      </c>
      <c r="B4" s="2">
        <f>LOG10(2.875*10^3)</f>
        <v>3.4586378490256493</v>
      </c>
      <c r="C4" s="1">
        <v>13136</v>
      </c>
      <c r="D4" t="s">
        <v>4</v>
      </c>
    </row>
    <row r="5" spans="1:4" x14ac:dyDescent="0.25">
      <c r="A5" s="1">
        <v>22</v>
      </c>
      <c r="B5" s="2">
        <f>LOG10(4.25*10^2)</f>
        <v>2.6283889300503116</v>
      </c>
      <c r="C5" s="1">
        <v>13136</v>
      </c>
      <c r="D5" t="s">
        <v>4</v>
      </c>
    </row>
    <row r="6" spans="1:4" x14ac:dyDescent="0.25">
      <c r="A6" s="1">
        <v>0</v>
      </c>
      <c r="B6" s="2">
        <f>LOG10(3.7*10^6)</f>
        <v>6.568201724066995</v>
      </c>
      <c r="C6" s="1">
        <v>13136</v>
      </c>
      <c r="D6" t="s">
        <v>5</v>
      </c>
    </row>
    <row r="7" spans="1:4" x14ac:dyDescent="0.25">
      <c r="A7" s="1">
        <v>14</v>
      </c>
      <c r="B7" s="2">
        <f>LOG10(9*10^3)</f>
        <v>3.9542425094393248</v>
      </c>
      <c r="C7" s="1">
        <v>13136</v>
      </c>
      <c r="D7" t="s">
        <v>5</v>
      </c>
    </row>
    <row r="8" spans="1:4" x14ac:dyDescent="0.25">
      <c r="A8" s="1">
        <v>18</v>
      </c>
      <c r="B8" s="2">
        <f>LOG10(3.875*10^3)</f>
        <v>3.5882717068423289</v>
      </c>
      <c r="C8" s="1">
        <v>13136</v>
      </c>
      <c r="D8" t="s">
        <v>5</v>
      </c>
    </row>
    <row r="9" spans="1:4" x14ac:dyDescent="0.25">
      <c r="A9" s="1">
        <v>22</v>
      </c>
      <c r="B9" s="2">
        <f>LOG10(3.625*10^2)</f>
        <v>2.5593080109070123</v>
      </c>
      <c r="C9" s="1">
        <v>13136</v>
      </c>
      <c r="D9" t="s">
        <v>5</v>
      </c>
    </row>
    <row r="10" spans="1:4" x14ac:dyDescent="0.25">
      <c r="A10" s="1">
        <v>0</v>
      </c>
      <c r="B10" s="2">
        <f>LOG10(5*10^6)</f>
        <v>6.6989700043360187</v>
      </c>
      <c r="C10" s="1">
        <v>13136</v>
      </c>
      <c r="D10" t="s">
        <v>6</v>
      </c>
    </row>
    <row r="11" spans="1:4" x14ac:dyDescent="0.25">
      <c r="A11" s="1">
        <v>14</v>
      </c>
      <c r="B11" s="2">
        <f>LOG10(1.25*10^3)</f>
        <v>3.0969100130080562</v>
      </c>
      <c r="C11" s="1">
        <v>13136</v>
      </c>
      <c r="D11" t="s">
        <v>6</v>
      </c>
    </row>
    <row r="12" spans="1:4" x14ac:dyDescent="0.25">
      <c r="A12" s="1">
        <v>18</v>
      </c>
      <c r="B12" s="2">
        <f>LOG10(5.5*10^2)</f>
        <v>2.7403626894942437</v>
      </c>
      <c r="C12" s="1">
        <v>13136</v>
      </c>
      <c r="D12" t="s">
        <v>6</v>
      </c>
    </row>
    <row r="13" spans="1:4" x14ac:dyDescent="0.25">
      <c r="A13" s="1">
        <v>22</v>
      </c>
      <c r="B13" s="2">
        <f>LOG10(8.5*10^2)</f>
        <v>2.9294189257142929</v>
      </c>
      <c r="C13" s="1">
        <v>13136</v>
      </c>
      <c r="D13" t="s">
        <v>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90" zoomScaleNormal="90" workbookViewId="0"/>
  </sheetViews>
  <sheetFormatPr defaultRowHeight="15" x14ac:dyDescent="0.25"/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0</v>
      </c>
      <c r="B2" s="2">
        <f>LOG10(3*10^6)</f>
        <v>6.4771212547196626</v>
      </c>
      <c r="C2" s="1">
        <v>12662</v>
      </c>
      <c r="D2" t="s">
        <v>4</v>
      </c>
    </row>
    <row r="3" spans="1:4" x14ac:dyDescent="0.25">
      <c r="A3" s="1">
        <v>2</v>
      </c>
      <c r="B3" s="2">
        <f>LOG10(3.3*10^2)</f>
        <v>2.5185139398778875</v>
      </c>
      <c r="C3" s="1">
        <v>12662</v>
      </c>
      <c r="D3" t="s">
        <v>4</v>
      </c>
    </row>
    <row r="4" spans="1:4" x14ac:dyDescent="0.25">
      <c r="A4" s="1">
        <v>4</v>
      </c>
      <c r="B4" s="2">
        <f>LOG10(5.3*10^2)</f>
        <v>2.7242758696007892</v>
      </c>
      <c r="C4" s="1">
        <v>12662</v>
      </c>
      <c r="D4" t="s">
        <v>4</v>
      </c>
    </row>
    <row r="5" spans="1:4" x14ac:dyDescent="0.25">
      <c r="A5" s="1">
        <v>6</v>
      </c>
      <c r="B5" s="2">
        <f>LOG10(2.5*10^3)</f>
        <v>3.3979400086720375</v>
      </c>
      <c r="C5" s="1">
        <v>12662</v>
      </c>
      <c r="D5" t="s">
        <v>4</v>
      </c>
    </row>
    <row r="6" spans="1:4" x14ac:dyDescent="0.25">
      <c r="A6" s="1">
        <v>10</v>
      </c>
      <c r="B6" s="2">
        <f>LOG10(2*10^3)</f>
        <v>3.3010299956639813</v>
      </c>
      <c r="C6" s="1">
        <v>12662</v>
      </c>
      <c r="D6" t="s">
        <v>4</v>
      </c>
    </row>
    <row r="7" spans="1:4" x14ac:dyDescent="0.25">
      <c r="A7" s="1">
        <v>0</v>
      </c>
      <c r="B7" s="2">
        <f>LOG10(1.7*10^6)</f>
        <v>6.2304489213782741</v>
      </c>
      <c r="C7" s="1">
        <v>12662</v>
      </c>
      <c r="D7" t="s">
        <v>5</v>
      </c>
    </row>
    <row r="8" spans="1:4" x14ac:dyDescent="0.25">
      <c r="A8" s="1">
        <v>2</v>
      </c>
      <c r="B8" s="2">
        <f>LOG10(2.3*10^3)</f>
        <v>3.3617278360175931</v>
      </c>
      <c r="C8" s="1">
        <v>12662</v>
      </c>
      <c r="D8" t="s">
        <v>5</v>
      </c>
    </row>
    <row r="9" spans="1:4" x14ac:dyDescent="0.25">
      <c r="A9" s="1">
        <v>4</v>
      </c>
      <c r="B9" s="2">
        <f>LOG10(2*10^3)</f>
        <v>3.3010299956639813</v>
      </c>
      <c r="C9" s="1">
        <v>12662</v>
      </c>
      <c r="D9" t="s">
        <v>5</v>
      </c>
    </row>
    <row r="10" spans="1:4" x14ac:dyDescent="0.25">
      <c r="A10" s="1">
        <v>6</v>
      </c>
      <c r="B10" s="2">
        <f>LOG10(2*10^2)</f>
        <v>2.3010299956639813</v>
      </c>
      <c r="C10" s="1">
        <v>12662</v>
      </c>
      <c r="D10" t="s">
        <v>5</v>
      </c>
    </row>
    <row r="11" spans="1:4" x14ac:dyDescent="0.25">
      <c r="A11" s="1">
        <v>8</v>
      </c>
      <c r="B11" s="2">
        <f>LOG10(8.25*10^3)</f>
        <v>3.916453948549925</v>
      </c>
      <c r="C11" s="1">
        <v>12662</v>
      </c>
      <c r="D11" t="s">
        <v>5</v>
      </c>
    </row>
    <row r="12" spans="1:4" x14ac:dyDescent="0.25">
      <c r="A12" s="1">
        <v>10</v>
      </c>
      <c r="B12" s="2">
        <f>LOG10(5.125*10^2)</f>
        <v>2.7096938697277917</v>
      </c>
      <c r="C12" s="1">
        <v>12662</v>
      </c>
      <c r="D12" t="s">
        <v>5</v>
      </c>
    </row>
    <row r="13" spans="1:4" x14ac:dyDescent="0.25">
      <c r="A13" s="1">
        <v>0</v>
      </c>
      <c r="B13" s="2">
        <f>LOG10(4*10^6)</f>
        <v>6.6020599913279625</v>
      </c>
      <c r="C13" s="1">
        <v>12662</v>
      </c>
      <c r="D13" t="s">
        <v>6</v>
      </c>
    </row>
    <row r="14" spans="1:4" x14ac:dyDescent="0.25">
      <c r="A14" s="1">
        <v>2</v>
      </c>
      <c r="B14" s="2">
        <f>LOG10(6*10^5)</f>
        <v>5.7781512503836439</v>
      </c>
      <c r="C14" s="1">
        <v>12662</v>
      </c>
      <c r="D14" t="s">
        <v>6</v>
      </c>
    </row>
    <row r="15" spans="1:4" x14ac:dyDescent="0.25">
      <c r="A15" s="1">
        <v>4</v>
      </c>
      <c r="B15" s="2">
        <f>LOG10(3.7*10^3)</f>
        <v>3.568201724066995</v>
      </c>
      <c r="C15" s="1">
        <v>12662</v>
      </c>
      <c r="D15" t="s">
        <v>6</v>
      </c>
    </row>
    <row r="16" spans="1:4" x14ac:dyDescent="0.25">
      <c r="A16" s="1">
        <v>6</v>
      </c>
      <c r="B16" s="2">
        <f>LOG10(6.5*10^3)</f>
        <v>3.8129133566428557</v>
      </c>
      <c r="C16" s="1">
        <v>12662</v>
      </c>
      <c r="D16" t="s">
        <v>6</v>
      </c>
    </row>
    <row r="17" spans="1:4" x14ac:dyDescent="0.25">
      <c r="A17" s="1">
        <v>8</v>
      </c>
      <c r="B17" s="2">
        <f>LOG10(5.625*10^3)</f>
        <v>3.7501225267834002</v>
      </c>
      <c r="C17" s="1">
        <v>12662</v>
      </c>
      <c r="D17" t="s">
        <v>6</v>
      </c>
    </row>
    <row r="18" spans="1:4" x14ac:dyDescent="0.25">
      <c r="A18" s="1">
        <v>10</v>
      </c>
      <c r="B18" s="2">
        <f>LOG10(1.25*10^3)</f>
        <v>3.0969100130080562</v>
      </c>
      <c r="C18" s="1">
        <v>12662</v>
      </c>
      <c r="D18" t="s">
        <v>6</v>
      </c>
    </row>
    <row r="19" spans="1:4" x14ac:dyDescent="0.25">
      <c r="A19" s="1">
        <v>0</v>
      </c>
      <c r="B19" s="2">
        <v>7</v>
      </c>
      <c r="C19" s="1">
        <v>13136</v>
      </c>
      <c r="D19" t="s">
        <v>4</v>
      </c>
    </row>
    <row r="20" spans="1:4" x14ac:dyDescent="0.25">
      <c r="A20" s="1">
        <v>14</v>
      </c>
      <c r="B20" s="2">
        <f>LOG10(1.625*10^3)</f>
        <v>3.2108533653148932</v>
      </c>
      <c r="C20" s="1">
        <v>13136</v>
      </c>
      <c r="D20" t="s">
        <v>4</v>
      </c>
    </row>
    <row r="21" spans="1:4" x14ac:dyDescent="0.25">
      <c r="A21" s="1">
        <v>18</v>
      </c>
      <c r="B21" s="2">
        <f>LOG10(2.875*10^3)</f>
        <v>3.4586378490256493</v>
      </c>
      <c r="C21" s="1">
        <v>13136</v>
      </c>
      <c r="D21" t="s">
        <v>4</v>
      </c>
    </row>
    <row r="22" spans="1:4" x14ac:dyDescent="0.25">
      <c r="A22" s="1">
        <v>22</v>
      </c>
      <c r="B22" s="2">
        <f>LOG10(4.25*10^2)</f>
        <v>2.6283889300503116</v>
      </c>
      <c r="C22" s="1">
        <v>13136</v>
      </c>
      <c r="D22" t="s">
        <v>4</v>
      </c>
    </row>
    <row r="23" spans="1:4" x14ac:dyDescent="0.25">
      <c r="A23" s="1">
        <v>0</v>
      </c>
      <c r="B23" s="2">
        <f>LOG10(3.7*10^6)</f>
        <v>6.568201724066995</v>
      </c>
      <c r="C23" s="1">
        <v>13136</v>
      </c>
      <c r="D23" t="s">
        <v>5</v>
      </c>
    </row>
    <row r="24" spans="1:4" x14ac:dyDescent="0.25">
      <c r="A24" s="1">
        <v>14</v>
      </c>
      <c r="B24" s="2">
        <f>LOG10(9*10^3)</f>
        <v>3.9542425094393248</v>
      </c>
      <c r="C24" s="1">
        <v>13136</v>
      </c>
      <c r="D24" t="s">
        <v>5</v>
      </c>
    </row>
    <row r="25" spans="1:4" x14ac:dyDescent="0.25">
      <c r="A25" s="1">
        <v>18</v>
      </c>
      <c r="B25" s="2">
        <f>LOG10(3.875*10^3)</f>
        <v>3.5882717068423289</v>
      </c>
      <c r="C25" s="1">
        <v>13136</v>
      </c>
      <c r="D25" t="s">
        <v>5</v>
      </c>
    </row>
    <row r="26" spans="1:4" x14ac:dyDescent="0.25">
      <c r="A26" s="1">
        <v>22</v>
      </c>
      <c r="B26" s="2">
        <f>LOG10(3.625*10^2)</f>
        <v>2.5593080109070123</v>
      </c>
      <c r="C26" s="1">
        <v>13136</v>
      </c>
      <c r="D26" t="s">
        <v>5</v>
      </c>
    </row>
    <row r="27" spans="1:4" x14ac:dyDescent="0.25">
      <c r="A27" s="1">
        <v>0</v>
      </c>
      <c r="B27" s="2">
        <f>LOG10(5*10^6)</f>
        <v>6.6989700043360187</v>
      </c>
      <c r="C27" s="1">
        <v>13136</v>
      </c>
      <c r="D27" t="s">
        <v>6</v>
      </c>
    </row>
    <row r="28" spans="1:4" x14ac:dyDescent="0.25">
      <c r="A28" s="1">
        <v>14</v>
      </c>
      <c r="B28" s="2">
        <f>LOG10(1.25*10^3)</f>
        <v>3.0969100130080562</v>
      </c>
      <c r="C28" s="1">
        <v>13136</v>
      </c>
      <c r="D28" t="s">
        <v>6</v>
      </c>
    </row>
    <row r="29" spans="1:4" x14ac:dyDescent="0.25">
      <c r="A29" s="1">
        <v>18</v>
      </c>
      <c r="B29" s="2">
        <f>LOG10(5.5*10^2)</f>
        <v>2.7403626894942437</v>
      </c>
      <c r="C29" s="1">
        <v>13136</v>
      </c>
      <c r="D29" t="s">
        <v>6</v>
      </c>
    </row>
    <row r="30" spans="1:4" x14ac:dyDescent="0.25">
      <c r="A30" s="1">
        <v>22</v>
      </c>
      <c r="B30" s="2">
        <f>LOG10(8.5*10^2)</f>
        <v>2.9294189257142929</v>
      </c>
      <c r="C30" s="1">
        <v>13136</v>
      </c>
      <c r="D30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90" zoomScaleNormal="90" workbookViewId="0">
      <selection activeCell="F15" sqref="F15"/>
    </sheetView>
  </sheetViews>
  <sheetFormatPr defaultRowHeight="15" x14ac:dyDescent="0.25"/>
  <cols>
    <col min="1" max="1" width="9.140625" style="12"/>
    <col min="2" max="3" width="9.85546875" style="12" customWidth="1"/>
    <col min="4" max="4" width="9.140625" style="12"/>
    <col min="6" max="6" width="11.140625" bestFit="1" customWidth="1"/>
  </cols>
  <sheetData>
    <row r="1" spans="1:37" ht="24" customHeight="1" x14ac:dyDescent="0.25">
      <c r="A1" s="3" t="s">
        <v>0</v>
      </c>
      <c r="B1" s="9" t="s">
        <v>7</v>
      </c>
      <c r="C1" s="9" t="s">
        <v>8</v>
      </c>
      <c r="D1" s="10" t="s">
        <v>9</v>
      </c>
      <c r="E1" s="5"/>
      <c r="F1" s="4" t="s">
        <v>11</v>
      </c>
      <c r="G1" s="4" t="s">
        <v>12</v>
      </c>
      <c r="H1" s="4" t="s">
        <v>16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x14ac:dyDescent="0.25">
      <c r="A2" s="11">
        <v>0</v>
      </c>
      <c r="B2" s="11">
        <v>6.4771212547196626</v>
      </c>
      <c r="C2" s="11">
        <f t="shared" ref="C2:C22" si="0">$G$5+LOG10($G$2*EXP(-$G$3*A2)+(1-$G$2)*EXP(-$G$4*A2))</f>
        <v>6.5189800363772923</v>
      </c>
      <c r="D2" s="11">
        <f t="shared" ref="D2:D22" si="1" xml:space="preserve"> (B2 - C2)^2</f>
        <v>1.7521576018611153E-3</v>
      </c>
      <c r="E2" s="5"/>
      <c r="F2" s="5" t="s">
        <v>27</v>
      </c>
      <c r="G2" s="16">
        <v>0.9993078515894559</v>
      </c>
      <c r="H2" s="16">
        <v>3.7290769018019155E-4</v>
      </c>
      <c r="I2" s="5"/>
      <c r="J2" s="5"/>
      <c r="K2" s="5"/>
      <c r="L2" s="6" t="s">
        <v>17</v>
      </c>
      <c r="M2" s="16">
        <v>8.1028813895244731E-2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11">
        <v>2</v>
      </c>
      <c r="B3" s="11">
        <v>3.4771212547196626</v>
      </c>
      <c r="C3" s="11">
        <f t="shared" si="0"/>
        <v>3.8840893642609355</v>
      </c>
      <c r="D3" s="11">
        <f t="shared" si="1"/>
        <v>0.16562304218359752</v>
      </c>
      <c r="E3" s="5"/>
      <c r="F3" s="5" t="s">
        <v>28</v>
      </c>
      <c r="G3" s="16">
        <v>3.1893064982506076</v>
      </c>
      <c r="H3" s="16">
        <v>0.32656695101080546</v>
      </c>
      <c r="I3" s="5"/>
      <c r="J3" s="5"/>
      <c r="K3" s="5"/>
      <c r="L3" s="6" t="s">
        <v>20</v>
      </c>
      <c r="M3" s="16">
        <f>SQRT(M2)</f>
        <v>0.28465560576817162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x14ac:dyDescent="0.25">
      <c r="A4" s="11">
        <v>4</v>
      </c>
      <c r="B4" s="11">
        <v>3.7096938697277917</v>
      </c>
      <c r="C4" s="11">
        <f t="shared" si="0"/>
        <v>3.2681445831601907</v>
      </c>
      <c r="D4" s="11">
        <f t="shared" si="1"/>
        <v>0.19496577246835739</v>
      </c>
      <c r="E4" s="5"/>
      <c r="F4" s="5" t="s">
        <v>29</v>
      </c>
      <c r="G4" s="16">
        <v>5.3689647513814963E-2</v>
      </c>
      <c r="H4" s="16">
        <v>3.3142951409298245E-2</v>
      </c>
      <c r="I4" s="5"/>
      <c r="J4" s="5"/>
      <c r="K4" s="5"/>
      <c r="L4" s="6" t="s">
        <v>18</v>
      </c>
      <c r="M4" s="16">
        <v>0.95502109805199908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x14ac:dyDescent="0.25">
      <c r="A5" s="11">
        <v>6</v>
      </c>
      <c r="B5" s="11">
        <v>3.3273589343863303</v>
      </c>
      <c r="C5" s="11">
        <f t="shared" si="0"/>
        <v>3.219280788877366</v>
      </c>
      <c r="D5" s="11">
        <f t="shared" si="1"/>
        <v>1.1680885536656867E-2</v>
      </c>
      <c r="E5" s="5"/>
      <c r="F5" s="5" t="s">
        <v>14</v>
      </c>
      <c r="G5" s="16">
        <v>6.5189800363772923</v>
      </c>
      <c r="H5" s="16">
        <v>0.16434493063077713</v>
      </c>
      <c r="I5" s="5"/>
      <c r="J5" s="5"/>
      <c r="K5" s="5"/>
      <c r="L5" s="6" t="s">
        <v>19</v>
      </c>
      <c r="M5" s="16">
        <v>0.94708364476705764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x14ac:dyDescent="0.25">
      <c r="A6" s="11">
        <v>10</v>
      </c>
      <c r="B6" s="11">
        <v>3.0107238653917729</v>
      </c>
      <c r="C6" s="11">
        <f t="shared" si="0"/>
        <v>3.1260080858025554</v>
      </c>
      <c r="D6" s="11">
        <f t="shared" si="1"/>
        <v>1.329045147572187E-2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x14ac:dyDescent="0.25">
      <c r="A7" s="11">
        <v>14</v>
      </c>
      <c r="B7" s="11">
        <v>2.916453948549925</v>
      </c>
      <c r="C7" s="11">
        <f t="shared" si="0"/>
        <v>3.0327396151851165</v>
      </c>
      <c r="D7" s="11">
        <f t="shared" si="1"/>
        <v>1.3522356264790881E-2</v>
      </c>
      <c r="E7" s="5"/>
      <c r="F7" s="4" t="s">
        <v>21</v>
      </c>
      <c r="G7" s="5"/>
      <c r="H7" s="7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x14ac:dyDescent="0.25">
      <c r="A8" s="11">
        <v>18</v>
      </c>
      <c r="B8" s="11">
        <v>3.3064250275506875</v>
      </c>
      <c r="C8" s="11">
        <f t="shared" si="0"/>
        <v>2.9394711445827943</v>
      </c>
      <c r="D8" s="11">
        <f t="shared" si="1"/>
        <v>0.13465515222521418</v>
      </c>
      <c r="E8" s="5"/>
      <c r="F8" s="5" t="s">
        <v>30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x14ac:dyDescent="0.25">
      <c r="A9" s="11">
        <v>0</v>
      </c>
      <c r="B9" s="11">
        <v>6.6020599913279625</v>
      </c>
      <c r="C9" s="11">
        <f t="shared" si="0"/>
        <v>6.5189800363772923</v>
      </c>
      <c r="D9" s="11">
        <f t="shared" si="1"/>
        <v>6.9022789146053936E-3</v>
      </c>
      <c r="E9" s="5"/>
      <c r="F9" s="4" t="s">
        <v>23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x14ac:dyDescent="0.25">
      <c r="A10" s="11">
        <v>2</v>
      </c>
      <c r="B10" s="11">
        <v>4.0530784434834199</v>
      </c>
      <c r="C10" s="11">
        <f t="shared" si="0"/>
        <v>3.8840893642609355</v>
      </c>
      <c r="D10" s="11">
        <f t="shared" si="1"/>
        <v>2.8557308896463112E-2</v>
      </c>
      <c r="E10" s="5"/>
      <c r="F10" s="5" t="s">
        <v>30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x14ac:dyDescent="0.25">
      <c r="A11" s="11">
        <v>4</v>
      </c>
      <c r="B11" s="11">
        <v>3.3010299956639813</v>
      </c>
      <c r="C11" s="11">
        <f t="shared" si="0"/>
        <v>3.2681445831601907</v>
      </c>
      <c r="D11" s="11">
        <f t="shared" si="1"/>
        <v>1.0814503555444614E-3</v>
      </c>
      <c r="E11" s="5"/>
      <c r="F11" s="4" t="s">
        <v>25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x14ac:dyDescent="0.25">
      <c r="A12" s="11">
        <v>6</v>
      </c>
      <c r="B12" s="11">
        <v>3.4191293077419758</v>
      </c>
      <c r="C12" s="11">
        <f t="shared" si="0"/>
        <v>3.219280788877366</v>
      </c>
      <c r="D12" s="11">
        <f t="shared" si="1"/>
        <v>3.9939430492378275E-2</v>
      </c>
      <c r="E12" s="5"/>
      <c r="F12" s="17" t="s">
        <v>31</v>
      </c>
      <c r="G12" s="18"/>
      <c r="H12" s="18"/>
      <c r="I12" s="18"/>
      <c r="J12" s="18"/>
      <c r="K12" s="18"/>
      <c r="L12" s="18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x14ac:dyDescent="0.25">
      <c r="A13" s="11">
        <v>10</v>
      </c>
      <c r="B13" s="11">
        <v>3.1055101847699738</v>
      </c>
      <c r="C13" s="11">
        <f t="shared" si="0"/>
        <v>3.1260080858025554</v>
      </c>
      <c r="D13" s="11">
        <f t="shared" si="1"/>
        <v>4.2016394674151167E-4</v>
      </c>
      <c r="E13" s="5"/>
      <c r="F13" s="18"/>
      <c r="G13" s="18"/>
      <c r="H13" s="18"/>
      <c r="I13" s="18"/>
      <c r="J13" s="18"/>
      <c r="K13" s="18"/>
      <c r="L13" s="18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x14ac:dyDescent="0.25">
      <c r="A14" s="11">
        <v>14</v>
      </c>
      <c r="B14" s="11">
        <v>2.9420080530223132</v>
      </c>
      <c r="C14" s="11">
        <f t="shared" si="0"/>
        <v>3.0327396151851165</v>
      </c>
      <c r="D14" s="11">
        <f t="shared" si="1"/>
        <v>8.2322163725026421E-3</v>
      </c>
      <c r="E14" s="5"/>
      <c r="F14" s="18"/>
      <c r="G14" s="18"/>
      <c r="H14" s="18"/>
      <c r="I14" s="18"/>
      <c r="J14" s="18"/>
      <c r="K14" s="18"/>
      <c r="L14" s="18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x14ac:dyDescent="0.25">
      <c r="A15" s="11">
        <v>18</v>
      </c>
      <c r="B15" s="11">
        <v>2.7096938697277917</v>
      </c>
      <c r="C15" s="11">
        <f t="shared" si="0"/>
        <v>2.9394711445827943</v>
      </c>
      <c r="D15" s="11">
        <f t="shared" si="1"/>
        <v>5.2797596039791436E-2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x14ac:dyDescent="0.25">
      <c r="A16" s="11">
        <v>0</v>
      </c>
      <c r="B16" s="11">
        <v>6.4771212547196626</v>
      </c>
      <c r="C16" s="11">
        <f t="shared" si="0"/>
        <v>6.5189800363772923</v>
      </c>
      <c r="D16" s="11">
        <f t="shared" si="1"/>
        <v>1.7521576018611153E-3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x14ac:dyDescent="0.25">
      <c r="A17" s="11">
        <v>2</v>
      </c>
      <c r="B17" s="11">
        <v>4.1238516409670858</v>
      </c>
      <c r="C17" s="11">
        <f t="shared" si="0"/>
        <v>3.8840893642609355</v>
      </c>
      <c r="D17" s="11">
        <f t="shared" si="1"/>
        <v>5.7485949331316559E-2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x14ac:dyDescent="0.25">
      <c r="A18" s="11">
        <v>4</v>
      </c>
      <c r="B18" s="11">
        <v>2.6651117370750512</v>
      </c>
      <c r="C18" s="11">
        <f t="shared" si="0"/>
        <v>3.2681445831601907</v>
      </c>
      <c r="D18" s="11">
        <f t="shared" si="1"/>
        <v>0.36364861345754357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x14ac:dyDescent="0.25">
      <c r="A19" s="11">
        <v>6</v>
      </c>
      <c r="B19" s="11">
        <v>3.4948500216800942</v>
      </c>
      <c r="C19" s="11">
        <f t="shared" si="0"/>
        <v>3.219280788877366</v>
      </c>
      <c r="D19" s="11">
        <f t="shared" si="1"/>
        <v>7.5938402067484187E-2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x14ac:dyDescent="0.25">
      <c r="A20" s="11">
        <v>10</v>
      </c>
      <c r="B20" s="11">
        <v>2.6989700043360187</v>
      </c>
      <c r="C20" s="11">
        <f t="shared" si="0"/>
        <v>3.1260080858025554</v>
      </c>
      <c r="D20" s="11">
        <f t="shared" si="1"/>
        <v>0.1823615230226204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x14ac:dyDescent="0.25">
      <c r="A21" s="11">
        <v>14</v>
      </c>
      <c r="B21" s="11">
        <v>3.0606978403536118</v>
      </c>
      <c r="C21" s="11">
        <f t="shared" si="0"/>
        <v>3.0327396151851165</v>
      </c>
      <c r="D21" s="11">
        <f t="shared" si="1"/>
        <v>7.8166235457228584E-4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x14ac:dyDescent="0.25">
      <c r="A22" s="11">
        <v>18</v>
      </c>
      <c r="B22" s="11">
        <v>3.0881360887005513</v>
      </c>
      <c r="C22" s="11">
        <f t="shared" si="0"/>
        <v>2.9394711445827943</v>
      </c>
      <c r="D22" s="11">
        <f t="shared" si="1"/>
        <v>2.2101265609535809E-2</v>
      </c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x14ac:dyDescent="0.25">
      <c r="A23" s="10" t="s">
        <v>10</v>
      </c>
      <c r="B23" s="11"/>
      <c r="C23" s="11"/>
      <c r="D23" s="11">
        <f>SUM(D2:D22)</f>
        <v>1.3774898362191603</v>
      </c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x14ac:dyDescent="0.25">
      <c r="A24" s="11"/>
      <c r="B24" s="11"/>
      <c r="C24" s="11"/>
      <c r="D24" s="11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x14ac:dyDescent="0.25">
      <c r="A25" s="11"/>
      <c r="B25" s="11"/>
      <c r="C25" s="11"/>
      <c r="D25" s="11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x14ac:dyDescent="0.25">
      <c r="A26" s="11">
        <v>0</v>
      </c>
      <c r="B26" s="11"/>
      <c r="C26" s="11">
        <f>$G$5+LOG10($G$2*EXP(-$G$3*A26)+(1-$G$2)*EXP(-$G$4*A26))</f>
        <v>6.5189800363772923</v>
      </c>
      <c r="D26" s="11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x14ac:dyDescent="0.25">
      <c r="A27" s="11">
        <v>0.18</v>
      </c>
      <c r="B27" s="11"/>
      <c r="C27" s="11">
        <f t="shared" ref="C27:C90" si="2">$G$5+LOG10($G$2*EXP(-$G$3*A27)+(1-$G$2)*EXP(-$G$4*A27))</f>
        <v>6.2698902739116127</v>
      </c>
      <c r="D27" s="11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x14ac:dyDescent="0.25">
      <c r="A28" s="11">
        <v>0.36</v>
      </c>
      <c r="B28" s="11"/>
      <c r="C28" s="11">
        <f t="shared" si="2"/>
        <v>6.0209730757319821</v>
      </c>
      <c r="D28" s="11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25">
      <c r="A29" s="11">
        <v>0.54</v>
      </c>
      <c r="B29" s="11"/>
      <c r="C29" s="11">
        <f t="shared" si="2"/>
        <v>5.7723587120974331</v>
      </c>
      <c r="D29" s="11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x14ac:dyDescent="0.25">
      <c r="A30" s="11">
        <v>0.72</v>
      </c>
      <c r="B30" s="11"/>
      <c r="C30" s="11">
        <f t="shared" si="2"/>
        <v>5.5242749951510755</v>
      </c>
      <c r="D30" s="11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x14ac:dyDescent="0.25">
      <c r="A31" s="11">
        <v>0.89999999999999991</v>
      </c>
      <c r="B31" s="11"/>
      <c r="C31" s="11">
        <f t="shared" si="2"/>
        <v>5.2771186624382107</v>
      </c>
      <c r="D31" s="11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x14ac:dyDescent="0.25">
      <c r="A32" s="11">
        <v>1.0799999999999998</v>
      </c>
      <c r="B32" s="11"/>
      <c r="C32" s="11">
        <f t="shared" si="2"/>
        <v>5.0315756273342611</v>
      </c>
      <c r="D32" s="11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x14ac:dyDescent="0.25">
      <c r="A33" s="11">
        <v>1.2599999999999998</v>
      </c>
      <c r="B33" s="11"/>
      <c r="C33" s="11">
        <f t="shared" si="2"/>
        <v>4.7888167885650565</v>
      </c>
      <c r="D33" s="11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x14ac:dyDescent="0.25">
      <c r="A34" s="11">
        <v>1.4399999999999997</v>
      </c>
      <c r="B34" s="11"/>
      <c r="C34" s="11">
        <f t="shared" si="2"/>
        <v>4.5507973541158719</v>
      </c>
      <c r="D34" s="11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x14ac:dyDescent="0.25">
      <c r="A35" s="11">
        <v>1.6199999999999997</v>
      </c>
      <c r="B35" s="11"/>
      <c r="C35" s="11">
        <f t="shared" si="2"/>
        <v>4.3206605732000973</v>
      </c>
      <c r="D35" s="11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x14ac:dyDescent="0.25">
      <c r="A36" s="11">
        <v>1.7999999999999996</v>
      </c>
      <c r="B36" s="11"/>
      <c r="C36" s="11">
        <f t="shared" si="2"/>
        <v>4.1031436174082572</v>
      </c>
      <c r="D36" s="11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x14ac:dyDescent="0.25">
      <c r="A37" s="11">
        <v>1.9799999999999995</v>
      </c>
      <c r="B37" s="11"/>
      <c r="C37" s="11">
        <f t="shared" si="2"/>
        <v>3.9046527670359987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x14ac:dyDescent="0.25">
      <c r="A38" s="11">
        <v>2.1599999999999997</v>
      </c>
      <c r="B38" s="11"/>
      <c r="C38" s="11">
        <f t="shared" si="2"/>
        <v>3.7324145096324481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x14ac:dyDescent="0.25">
      <c r="A39" s="11">
        <v>2.34</v>
      </c>
      <c r="B39" s="11"/>
      <c r="C39" s="11">
        <f t="shared" si="2"/>
        <v>3.5923241999764364</v>
      </c>
      <c r="D39" s="11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x14ac:dyDescent="0.25">
      <c r="A40" s="11">
        <v>2.52</v>
      </c>
      <c r="B40" s="11"/>
      <c r="C40" s="11">
        <f t="shared" si="2"/>
        <v>3.4863396527541379</v>
      </c>
      <c r="D40" s="11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x14ac:dyDescent="0.25">
      <c r="A41" s="11">
        <v>2.7</v>
      </c>
      <c r="B41" s="11"/>
      <c r="C41" s="11">
        <f t="shared" si="2"/>
        <v>3.4114581043191485</v>
      </c>
      <c r="D41" s="11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x14ac:dyDescent="0.25">
      <c r="A42" s="11">
        <v>2.8800000000000003</v>
      </c>
      <c r="B42" s="11"/>
      <c r="C42" s="11">
        <f t="shared" si="2"/>
        <v>3.3612538666458383</v>
      </c>
      <c r="D42" s="11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x14ac:dyDescent="0.25">
      <c r="A43" s="11">
        <v>3.0600000000000005</v>
      </c>
      <c r="B43" s="11"/>
      <c r="C43" s="11">
        <f t="shared" si="2"/>
        <v>3.328540594781991</v>
      </c>
      <c r="D43" s="11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x14ac:dyDescent="0.25">
      <c r="A44" s="11">
        <v>3.2400000000000007</v>
      </c>
      <c r="B44" s="11"/>
      <c r="C44" s="11">
        <f t="shared" si="2"/>
        <v>3.307250224624033</v>
      </c>
      <c r="D44" s="11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x14ac:dyDescent="0.25">
      <c r="A45" s="11">
        <v>3.4200000000000008</v>
      </c>
      <c r="B45" s="11"/>
      <c r="C45" s="11">
        <f t="shared" si="2"/>
        <v>3.2930235142402746</v>
      </c>
      <c r="D45" s="11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x14ac:dyDescent="0.25">
      <c r="A46" s="11">
        <v>3.600000000000001</v>
      </c>
      <c r="B46" s="11"/>
      <c r="C46" s="11">
        <f t="shared" si="2"/>
        <v>3.2830175861381088</v>
      </c>
      <c r="D46" s="11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x14ac:dyDescent="0.25">
      <c r="A47" s="11">
        <v>3.7800000000000011</v>
      </c>
      <c r="B47" s="11"/>
      <c r="C47" s="11">
        <f t="shared" si="2"/>
        <v>3.2754820528376416</v>
      </c>
      <c r="D47" s="11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x14ac:dyDescent="0.25">
      <c r="A48" s="11">
        <v>3.9600000000000013</v>
      </c>
      <c r="B48" s="11"/>
      <c r="C48" s="11">
        <f t="shared" si="2"/>
        <v>3.2693749005497343</v>
      </c>
      <c r="D48" s="11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x14ac:dyDescent="0.25">
      <c r="A49" s="11">
        <v>4.1400000000000015</v>
      </c>
      <c r="B49" s="11"/>
      <c r="C49" s="11">
        <f t="shared" si="2"/>
        <v>3.2640878125561446</v>
      </c>
      <c r="D49" s="11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x14ac:dyDescent="0.25">
      <c r="A50" s="11">
        <v>4.3200000000000012</v>
      </c>
      <c r="B50" s="11"/>
      <c r="C50" s="11">
        <f t="shared" si="2"/>
        <v>3.2592696274894442</v>
      </c>
      <c r="D50" s="11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x14ac:dyDescent="0.25">
      <c r="A51" s="11">
        <v>4.5000000000000009</v>
      </c>
      <c r="B51" s="11"/>
      <c r="C51" s="11">
        <f t="shared" si="2"/>
        <v>3.2547189310214235</v>
      </c>
      <c r="D51" s="11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x14ac:dyDescent="0.25">
      <c r="A52" s="11">
        <v>4.6800000000000006</v>
      </c>
      <c r="B52" s="11"/>
      <c r="C52" s="11">
        <f t="shared" si="2"/>
        <v>3.2503206220954479</v>
      </c>
      <c r="D52" s="11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x14ac:dyDescent="0.25">
      <c r="A53" s="11">
        <v>4.8600000000000003</v>
      </c>
      <c r="B53" s="11"/>
      <c r="C53" s="11">
        <f t="shared" si="2"/>
        <v>3.2460090621027637</v>
      </c>
      <c r="D53" s="11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x14ac:dyDescent="0.25">
      <c r="A54" s="11">
        <v>5.04</v>
      </c>
      <c r="B54" s="11"/>
      <c r="C54" s="11">
        <f t="shared" si="2"/>
        <v>3.2417468639339027</v>
      </c>
      <c r="D54" s="11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x14ac:dyDescent="0.25">
      <c r="A55" s="11">
        <v>5.22</v>
      </c>
      <c r="B55" s="11"/>
      <c r="C55" s="11">
        <f t="shared" si="2"/>
        <v>3.2375127466942737</v>
      </c>
      <c r="D55" s="11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x14ac:dyDescent="0.25">
      <c r="A56" s="11">
        <v>5.3999999999999995</v>
      </c>
      <c r="B56" s="11"/>
      <c r="C56" s="11">
        <f t="shared" si="2"/>
        <v>3.2332946018850399</v>
      </c>
      <c r="D56" s="11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x14ac:dyDescent="0.25">
      <c r="A57" s="11">
        <v>5.5799999999999992</v>
      </c>
      <c r="B57" s="11"/>
      <c r="C57" s="11">
        <f t="shared" si="2"/>
        <v>3.2290855414701523</v>
      </c>
      <c r="D57" s="11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x14ac:dyDescent="0.25">
      <c r="A58" s="11">
        <v>5.7599999999999989</v>
      </c>
      <c r="B58" s="11"/>
      <c r="C58" s="11">
        <f t="shared" si="2"/>
        <v>3.2248816476131377</v>
      </c>
      <c r="D58" s="11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x14ac:dyDescent="0.25">
      <c r="A59" s="11">
        <v>5.9399999999999986</v>
      </c>
      <c r="B59" s="11"/>
      <c r="C59" s="11">
        <f t="shared" si="2"/>
        <v>3.2206806920514257</v>
      </c>
      <c r="D59" s="11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x14ac:dyDescent="0.25">
      <c r="A60" s="11">
        <v>6.1199999999999983</v>
      </c>
      <c r="B60" s="11"/>
      <c r="C60" s="11">
        <f t="shared" si="2"/>
        <v>3.2164814075157855</v>
      </c>
      <c r="D60" s="11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x14ac:dyDescent="0.25">
      <c r="A61" s="11">
        <v>6.299999999999998</v>
      </c>
      <c r="B61" s="11"/>
      <c r="C61" s="11">
        <f t="shared" si="2"/>
        <v>3.2122830732947332</v>
      </c>
      <c r="D61" s="11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x14ac:dyDescent="0.25">
      <c r="A62" s="11">
        <v>6.4799999999999978</v>
      </c>
      <c r="B62" s="11"/>
      <c r="C62" s="11">
        <f t="shared" si="2"/>
        <v>3.2080852795161996</v>
      </c>
      <c r="D62" s="11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x14ac:dyDescent="0.25">
      <c r="A63" s="11">
        <v>6.6599999999999975</v>
      </c>
      <c r="B63" s="11"/>
      <c r="C63" s="11">
        <f t="shared" si="2"/>
        <v>3.2038877930857108</v>
      </c>
      <c r="D63" s="11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x14ac:dyDescent="0.25">
      <c r="A64" s="11">
        <v>6.8399999999999972</v>
      </c>
      <c r="B64" s="11"/>
      <c r="C64" s="11">
        <f t="shared" si="2"/>
        <v>3.1996904814428677</v>
      </c>
      <c r="D64" s="11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x14ac:dyDescent="0.25">
      <c r="A65" s="11">
        <v>7.0199999999999969</v>
      </c>
      <c r="B65" s="11"/>
      <c r="C65" s="11">
        <f t="shared" si="2"/>
        <v>3.1954932692009979</v>
      </c>
      <c r="D65" s="11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x14ac:dyDescent="0.25">
      <c r="A66" s="11">
        <v>7.1999999999999966</v>
      </c>
      <c r="B66" s="11"/>
      <c r="C66" s="11">
        <f t="shared" si="2"/>
        <v>3.1912961134880002</v>
      </c>
      <c r="D66" s="11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x14ac:dyDescent="0.25">
      <c r="A67" s="11">
        <v>7.3799999999999963</v>
      </c>
      <c r="B67" s="11"/>
      <c r="C67" s="11">
        <f t="shared" si="2"/>
        <v>3.1870989899227009</v>
      </c>
      <c r="D67" s="11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x14ac:dyDescent="0.25">
      <c r="A68" s="11">
        <v>7.5599999999999961</v>
      </c>
      <c r="B68" s="11"/>
      <c r="C68" s="11">
        <f t="shared" si="2"/>
        <v>3.1829018846396404</v>
      </c>
      <c r="D68" s="11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x14ac:dyDescent="0.25">
      <c r="A69" s="11">
        <v>7.7399999999999958</v>
      </c>
      <c r="B69" s="11"/>
      <c r="C69" s="11">
        <f t="shared" si="2"/>
        <v>3.1787047897535992</v>
      </c>
      <c r="D69" s="11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x14ac:dyDescent="0.25">
      <c r="A70" s="11">
        <v>7.9199999999999955</v>
      </c>
      <c r="B70" s="11"/>
      <c r="C70" s="11">
        <f t="shared" si="2"/>
        <v>3.1745077007802904</v>
      </c>
      <c r="D70" s="11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x14ac:dyDescent="0.25">
      <c r="A71" s="11">
        <v>8.0999999999999961</v>
      </c>
      <c r="B71" s="11"/>
      <c r="C71" s="11">
        <f t="shared" si="2"/>
        <v>3.1703106151695239</v>
      </c>
      <c r="D71" s="11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x14ac:dyDescent="0.25">
      <c r="A72" s="11">
        <v>8.2799999999999958</v>
      </c>
      <c r="B72" s="11"/>
      <c r="C72" s="11">
        <f t="shared" si="2"/>
        <v>3.1661135314710176</v>
      </c>
      <c r="D72" s="11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x14ac:dyDescent="0.25">
      <c r="A73" s="11">
        <v>8.4599999999999955</v>
      </c>
      <c r="B73" s="11"/>
      <c r="C73" s="11">
        <f t="shared" si="2"/>
        <v>3.1619164488600049</v>
      </c>
      <c r="D73" s="11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x14ac:dyDescent="0.25">
      <c r="A74" s="11">
        <v>8.6399999999999952</v>
      </c>
      <c r="B74" s="11"/>
      <c r="C74" s="11">
        <f t="shared" si="2"/>
        <v>3.1577193668674437</v>
      </c>
      <c r="D74" s="11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x14ac:dyDescent="0.25">
      <c r="A75" s="11">
        <v>8.819999999999995</v>
      </c>
      <c r="B75" s="11"/>
      <c r="C75" s="11">
        <f t="shared" si="2"/>
        <v>3.1535222852265932</v>
      </c>
      <c r="D75" s="11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x14ac:dyDescent="0.25">
      <c r="A76" s="11">
        <v>8.9999999999999947</v>
      </c>
      <c r="B76" s="11"/>
      <c r="C76" s="11">
        <f t="shared" si="2"/>
        <v>3.1493252037857586</v>
      </c>
      <c r="D76" s="11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 x14ac:dyDescent="0.25">
      <c r="A77" s="11">
        <v>9.1799999999999944</v>
      </c>
      <c r="B77" s="11"/>
      <c r="C77" s="11">
        <f t="shared" si="2"/>
        <v>3.1451281224586722</v>
      </c>
      <c r="D77" s="11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 x14ac:dyDescent="0.25">
      <c r="A78" s="11">
        <v>9.3599999999999941</v>
      </c>
      <c r="B78" s="11"/>
      <c r="C78" s="11">
        <f t="shared" si="2"/>
        <v>3.1409310411962741</v>
      </c>
      <c r="D78" s="11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x14ac:dyDescent="0.25">
      <c r="A79" s="11">
        <v>9.5399999999999938</v>
      </c>
      <c r="B79" s="11"/>
      <c r="C79" s="11">
        <f t="shared" si="2"/>
        <v>3.1367339599706634</v>
      </c>
      <c r="D79" s="11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x14ac:dyDescent="0.25">
      <c r="A80" s="11">
        <v>9.7199999999999935</v>
      </c>
      <c r="B80" s="11"/>
      <c r="C80" s="11">
        <f t="shared" si="2"/>
        <v>3.1325368787659733</v>
      </c>
      <c r="D80" s="11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x14ac:dyDescent="0.25">
      <c r="A81" s="11">
        <v>9.8999999999999932</v>
      </c>
      <c r="B81" s="11"/>
      <c r="C81" s="11">
        <f t="shared" si="2"/>
        <v>3.1283397975731813</v>
      </c>
      <c r="D81" s="11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x14ac:dyDescent="0.25">
      <c r="A82" s="11">
        <v>10.079999999999993</v>
      </c>
      <c r="B82" s="11"/>
      <c r="C82" s="11">
        <f t="shared" si="2"/>
        <v>3.1241427163871553</v>
      </c>
      <c r="D82" s="11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x14ac:dyDescent="0.25">
      <c r="A83" s="11">
        <v>10.259999999999993</v>
      </c>
      <c r="B83" s="11"/>
      <c r="C83" s="11">
        <f t="shared" si="2"/>
        <v>3.1199456352049775</v>
      </c>
      <c r="D83" s="11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x14ac:dyDescent="0.25">
      <c r="A84" s="11">
        <v>10.439999999999992</v>
      </c>
      <c r="B84" s="11"/>
      <c r="C84" s="11">
        <f t="shared" si="2"/>
        <v>3.1157485540249876</v>
      </c>
      <c r="D84" s="11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x14ac:dyDescent="0.25">
      <c r="A85" s="11">
        <v>10.619999999999992</v>
      </c>
      <c r="B85" s="11"/>
      <c r="C85" s="11">
        <f t="shared" si="2"/>
        <v>3.1115514728462421</v>
      </c>
      <c r="D85" s="11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x14ac:dyDescent="0.25">
      <c r="A86" s="11">
        <v>10.799999999999992</v>
      </c>
      <c r="B86" s="11"/>
      <c r="C86" s="11">
        <f t="shared" si="2"/>
        <v>3.1073543916682045</v>
      </c>
      <c r="D86" s="11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x14ac:dyDescent="0.25">
      <c r="A87" s="11">
        <v>10.979999999999992</v>
      </c>
      <c r="B87" s="11"/>
      <c r="C87" s="11">
        <f t="shared" si="2"/>
        <v>3.1031573104905692</v>
      </c>
      <c r="D87" s="11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25">
      <c r="A88" s="11">
        <v>11.159999999999991</v>
      </c>
      <c r="B88" s="11"/>
      <c r="C88" s="11">
        <f t="shared" si="2"/>
        <v>3.0989602293131631</v>
      </c>
      <c r="D88" s="11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25">
      <c r="A89" s="11">
        <v>11.339999999999991</v>
      </c>
      <c r="B89" s="11"/>
      <c r="C89" s="11">
        <f t="shared" si="2"/>
        <v>3.094763148135887</v>
      </c>
      <c r="D89" s="11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25">
      <c r="A90" s="11">
        <v>11.519999999999991</v>
      </c>
      <c r="B90" s="11"/>
      <c r="C90" s="11">
        <f t="shared" si="2"/>
        <v>3.0905660669586847</v>
      </c>
      <c r="D90" s="11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25">
      <c r="A91" s="11">
        <v>11.69999999999999</v>
      </c>
      <c r="B91" s="11"/>
      <c r="C91" s="11">
        <f t="shared" ref="C91:C126" si="3">$G$5+LOG10($G$2*EXP(-$G$3*A91)+(1-$G$2)*EXP(-$G$4*A91))</f>
        <v>3.0863689857815251</v>
      </c>
      <c r="D91" s="11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x14ac:dyDescent="0.25">
      <c r="A92" s="11">
        <v>11.87999999999999</v>
      </c>
      <c r="B92" s="11"/>
      <c r="C92" s="11">
        <f t="shared" si="3"/>
        <v>3.0821719046043889</v>
      </c>
      <c r="D92" s="11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25">
      <c r="A93" s="11">
        <v>12.05999999999999</v>
      </c>
      <c r="B93" s="11"/>
      <c r="C93" s="11">
        <f t="shared" si="3"/>
        <v>3.0779748234272666</v>
      </c>
      <c r="D93" s="11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x14ac:dyDescent="0.25">
      <c r="A94" s="11">
        <v>12.23999999999999</v>
      </c>
      <c r="B94" s="11"/>
      <c r="C94" s="11">
        <f t="shared" si="3"/>
        <v>3.0737777422501518</v>
      </c>
      <c r="D94" s="11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x14ac:dyDescent="0.25">
      <c r="A95" s="11">
        <v>12.419999999999989</v>
      </c>
      <c r="B95" s="11"/>
      <c r="C95" s="11">
        <f t="shared" si="3"/>
        <v>3.0695806610730414</v>
      </c>
      <c r="D95" s="11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x14ac:dyDescent="0.25">
      <c r="A96" s="11">
        <v>12.599999999999989</v>
      </c>
      <c r="B96" s="11"/>
      <c r="C96" s="11">
        <f t="shared" si="3"/>
        <v>3.0653835798959337</v>
      </c>
      <c r="D96" s="11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x14ac:dyDescent="0.25">
      <c r="A97" s="11">
        <v>12.779999999999989</v>
      </c>
      <c r="B97" s="11"/>
      <c r="C97" s="11">
        <f t="shared" si="3"/>
        <v>3.0611864987188273</v>
      </c>
      <c r="D97" s="11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x14ac:dyDescent="0.25">
      <c r="A98" s="11">
        <v>12.959999999999988</v>
      </c>
      <c r="B98" s="11"/>
      <c r="C98" s="11">
        <f t="shared" si="3"/>
        <v>3.0569894175417218</v>
      </c>
      <c r="D98" s="11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x14ac:dyDescent="0.25">
      <c r="A99" s="11">
        <v>13.139999999999988</v>
      </c>
      <c r="B99" s="11"/>
      <c r="C99" s="11">
        <f t="shared" si="3"/>
        <v>3.0527923363646168</v>
      </c>
      <c r="D99" s="11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x14ac:dyDescent="0.25">
      <c r="A100" s="11">
        <v>13.319999999999988</v>
      </c>
      <c r="B100" s="11"/>
      <c r="C100" s="11">
        <f t="shared" si="3"/>
        <v>3.0485952551875117</v>
      </c>
      <c r="D100" s="11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x14ac:dyDescent="0.25">
      <c r="A101" s="11">
        <v>13.499999999999988</v>
      </c>
      <c r="B101" s="11"/>
      <c r="C101" s="11">
        <f t="shared" si="3"/>
        <v>3.0443981740104071</v>
      </c>
      <c r="D101" s="11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x14ac:dyDescent="0.25">
      <c r="A102" s="11">
        <v>13.679999999999987</v>
      </c>
      <c r="B102" s="11"/>
      <c r="C102" s="11">
        <f t="shared" si="3"/>
        <v>3.0402010928333025</v>
      </c>
      <c r="D102" s="11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x14ac:dyDescent="0.25">
      <c r="A103" s="11">
        <v>13.859999999999987</v>
      </c>
      <c r="B103" s="11"/>
      <c r="C103" s="11">
        <f t="shared" si="3"/>
        <v>3.0360040116561979</v>
      </c>
      <c r="D103" s="11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x14ac:dyDescent="0.25">
      <c r="A104" s="11">
        <v>14.039999999999987</v>
      </c>
      <c r="B104" s="11"/>
      <c r="C104" s="11">
        <f t="shared" si="3"/>
        <v>3.0318069304790938</v>
      </c>
      <c r="D104" s="11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x14ac:dyDescent="0.25">
      <c r="A105" s="11">
        <v>14.219999999999986</v>
      </c>
      <c r="B105" s="11"/>
      <c r="C105" s="11">
        <f t="shared" si="3"/>
        <v>3.0276098493019892</v>
      </c>
      <c r="D105" s="11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x14ac:dyDescent="0.25">
      <c r="A106" s="11">
        <v>14.399999999999986</v>
      </c>
      <c r="B106" s="11"/>
      <c r="C106" s="11">
        <f t="shared" si="3"/>
        <v>3.0234127681248846</v>
      </c>
      <c r="D106" s="11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x14ac:dyDescent="0.25">
      <c r="A107" s="11">
        <v>14.579999999999986</v>
      </c>
      <c r="B107" s="11"/>
      <c r="C107" s="11">
        <f t="shared" si="3"/>
        <v>3.01921568694778</v>
      </c>
      <c r="D107" s="11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x14ac:dyDescent="0.25">
      <c r="A108" s="11">
        <v>14.759999999999986</v>
      </c>
      <c r="B108" s="11"/>
      <c r="C108" s="11">
        <f t="shared" si="3"/>
        <v>3.0150186057706754</v>
      </c>
      <c r="D108" s="11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x14ac:dyDescent="0.25">
      <c r="A109" s="11">
        <v>14.939999999999985</v>
      </c>
      <c r="B109" s="11"/>
      <c r="C109" s="11">
        <f t="shared" si="3"/>
        <v>3.0108215245935712</v>
      </c>
      <c r="D109" s="11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x14ac:dyDescent="0.25">
      <c r="A110" s="11">
        <v>15.119999999999985</v>
      </c>
      <c r="B110" s="11"/>
      <c r="C110" s="11">
        <f t="shared" si="3"/>
        <v>3.0066244434164666</v>
      </c>
      <c r="D110" s="11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x14ac:dyDescent="0.25">
      <c r="A111" s="11">
        <v>15.299999999999985</v>
      </c>
      <c r="B111" s="11"/>
      <c r="C111" s="11">
        <f t="shared" si="3"/>
        <v>3.002427362239362</v>
      </c>
      <c r="D111" s="11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 x14ac:dyDescent="0.25">
      <c r="A112" s="11">
        <v>15.479999999999984</v>
      </c>
      <c r="B112" s="11"/>
      <c r="C112" s="11">
        <f t="shared" si="3"/>
        <v>2.9982302810622574</v>
      </c>
      <c r="D112" s="11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x14ac:dyDescent="0.25">
      <c r="A113" s="11">
        <v>15.659999999999984</v>
      </c>
      <c r="B113" s="11"/>
      <c r="C113" s="11">
        <f t="shared" si="3"/>
        <v>2.9940331998851533</v>
      </c>
      <c r="D113" s="11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x14ac:dyDescent="0.25">
      <c r="A114" s="11">
        <v>15.839999999999984</v>
      </c>
      <c r="B114" s="11"/>
      <c r="C114" s="11">
        <f t="shared" si="3"/>
        <v>2.9898361187080487</v>
      </c>
      <c r="D114" s="11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x14ac:dyDescent="0.25">
      <c r="A115" s="11">
        <v>16.019999999999985</v>
      </c>
      <c r="B115" s="11"/>
      <c r="C115" s="11">
        <f t="shared" si="3"/>
        <v>2.9856390375309441</v>
      </c>
      <c r="D115" s="11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x14ac:dyDescent="0.25">
      <c r="A116" s="11">
        <v>16.199999999999985</v>
      </c>
      <c r="B116" s="11"/>
      <c r="C116" s="11">
        <f t="shared" si="3"/>
        <v>2.9814419563538395</v>
      </c>
      <c r="D116" s="11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x14ac:dyDescent="0.25">
      <c r="A117" s="11">
        <v>16.379999999999985</v>
      </c>
      <c r="B117" s="11"/>
      <c r="C117" s="11">
        <f t="shared" si="3"/>
        <v>2.9772448751767353</v>
      </c>
      <c r="D117" s="11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1:37" x14ac:dyDescent="0.25">
      <c r="A118" s="11">
        <v>16.559999999999985</v>
      </c>
      <c r="B118" s="11"/>
      <c r="C118" s="11">
        <f t="shared" si="3"/>
        <v>2.9730477939996307</v>
      </c>
      <c r="D118" s="11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1:37" x14ac:dyDescent="0.25">
      <c r="A119" s="11">
        <v>16.739999999999984</v>
      </c>
      <c r="B119" s="11"/>
      <c r="C119" s="11">
        <f t="shared" si="3"/>
        <v>2.9688507128225261</v>
      </c>
      <c r="D119" s="11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 x14ac:dyDescent="0.25">
      <c r="A120" s="11">
        <v>16.919999999999984</v>
      </c>
      <c r="B120" s="11"/>
      <c r="C120" s="11">
        <f t="shared" si="3"/>
        <v>2.9646536316454219</v>
      </c>
      <c r="D120" s="11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 x14ac:dyDescent="0.25">
      <c r="A121" s="11">
        <v>17.099999999999984</v>
      </c>
      <c r="B121" s="11"/>
      <c r="C121" s="11">
        <f t="shared" si="3"/>
        <v>2.9604565504683173</v>
      </c>
      <c r="D121" s="11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 x14ac:dyDescent="0.25">
      <c r="A122" s="11">
        <v>17.279999999999983</v>
      </c>
      <c r="B122" s="11"/>
      <c r="C122" s="11">
        <f t="shared" si="3"/>
        <v>2.9562594692912127</v>
      </c>
      <c r="D122" s="11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 x14ac:dyDescent="0.25">
      <c r="A123" s="11">
        <v>17.459999999999983</v>
      </c>
      <c r="B123" s="11"/>
      <c r="C123" s="11">
        <f t="shared" si="3"/>
        <v>2.9520623881141081</v>
      </c>
      <c r="D123" s="11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 x14ac:dyDescent="0.25">
      <c r="A124" s="11">
        <v>17.639999999999983</v>
      </c>
      <c r="B124" s="11"/>
      <c r="C124" s="11">
        <f t="shared" si="3"/>
        <v>2.947865306937004</v>
      </c>
      <c r="D124" s="11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1:37" x14ac:dyDescent="0.25">
      <c r="A125" s="11">
        <v>17.819999999999983</v>
      </c>
      <c r="B125" s="11"/>
      <c r="C125" s="11">
        <f t="shared" si="3"/>
        <v>2.9436682257598994</v>
      </c>
      <c r="D125" s="11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 x14ac:dyDescent="0.25">
      <c r="A126" s="11">
        <v>17.999999999999982</v>
      </c>
      <c r="B126" s="11"/>
      <c r="C126" s="11">
        <f t="shared" si="3"/>
        <v>2.9394711445827948</v>
      </c>
      <c r="D126" s="11"/>
      <c r="E126" s="5"/>
      <c r="F126" s="5"/>
      <c r="G126" s="5"/>
      <c r="H126" s="5"/>
      <c r="I126" s="5"/>
      <c r="J126" s="5"/>
      <c r="K126" s="5"/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90" zoomScaleNormal="90" workbookViewId="0">
      <selection sqref="A1:D22"/>
    </sheetView>
  </sheetViews>
  <sheetFormatPr defaultRowHeight="15" x14ac:dyDescent="0.25"/>
  <cols>
    <col min="1" max="16384" width="9.140625" style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0</v>
      </c>
      <c r="B2" s="2">
        <f>LOG10(3*10^6)</f>
        <v>6.4771212547196626</v>
      </c>
      <c r="C2" s="1">
        <v>12628</v>
      </c>
      <c r="D2" s="1" t="s">
        <v>4</v>
      </c>
    </row>
    <row r="3" spans="1:4" x14ac:dyDescent="0.25">
      <c r="A3" s="1">
        <v>2</v>
      </c>
      <c r="B3" s="2">
        <f>LOG10(3*10^3)</f>
        <v>3.4771212547196626</v>
      </c>
      <c r="C3" s="1">
        <v>12628</v>
      </c>
      <c r="D3" s="1" t="s">
        <v>4</v>
      </c>
    </row>
    <row r="4" spans="1:4" x14ac:dyDescent="0.25">
      <c r="A4" s="1">
        <v>4</v>
      </c>
      <c r="B4" s="2">
        <f>LOG10(5.125*10^3)</f>
        <v>3.7096938697277917</v>
      </c>
      <c r="C4" s="1">
        <v>12628</v>
      </c>
      <c r="D4" s="1" t="s">
        <v>4</v>
      </c>
    </row>
    <row r="5" spans="1:4" x14ac:dyDescent="0.25">
      <c r="A5" s="1">
        <v>6</v>
      </c>
      <c r="B5" s="2">
        <f>LOG10(2.125*10^3)</f>
        <v>3.3273589343863303</v>
      </c>
      <c r="C5" s="1">
        <v>12628</v>
      </c>
      <c r="D5" s="1" t="s">
        <v>4</v>
      </c>
    </row>
    <row r="6" spans="1:4" x14ac:dyDescent="0.25">
      <c r="A6" s="1">
        <v>10</v>
      </c>
      <c r="B6" s="2">
        <f>LOG10(10.25*10^2)</f>
        <v>3.0107238653917729</v>
      </c>
      <c r="C6" s="1">
        <v>12628</v>
      </c>
      <c r="D6" s="1" t="s">
        <v>4</v>
      </c>
    </row>
    <row r="7" spans="1:4" x14ac:dyDescent="0.25">
      <c r="A7" s="1">
        <v>14</v>
      </c>
      <c r="B7" s="2">
        <f>LOG10(8.25*10^2)</f>
        <v>2.916453948549925</v>
      </c>
      <c r="C7" s="1">
        <v>12628</v>
      </c>
      <c r="D7" s="1" t="s">
        <v>4</v>
      </c>
    </row>
    <row r="8" spans="1:4" x14ac:dyDescent="0.25">
      <c r="A8" s="8">
        <v>18</v>
      </c>
      <c r="B8" s="2">
        <f>LOG10(20.25*10^2)</f>
        <v>3.3064250275506875</v>
      </c>
      <c r="C8" s="1">
        <v>12628</v>
      </c>
      <c r="D8" s="1" t="s">
        <v>4</v>
      </c>
    </row>
    <row r="9" spans="1:4" x14ac:dyDescent="0.25">
      <c r="A9" s="1">
        <v>0</v>
      </c>
      <c r="B9" s="2">
        <f>LOG10(4*10^6)</f>
        <v>6.6020599913279625</v>
      </c>
      <c r="C9" s="1">
        <v>12628</v>
      </c>
      <c r="D9" s="1" t="s">
        <v>5</v>
      </c>
    </row>
    <row r="10" spans="1:4" x14ac:dyDescent="0.25">
      <c r="A10" s="1">
        <v>2</v>
      </c>
      <c r="B10" s="2">
        <f>LOG10(1.13*10^4)</f>
        <v>4.0530784434834199</v>
      </c>
      <c r="C10" s="1">
        <v>12628</v>
      </c>
      <c r="D10" s="1" t="s">
        <v>5</v>
      </c>
    </row>
    <row r="11" spans="1:4" x14ac:dyDescent="0.25">
      <c r="A11" s="1">
        <v>4</v>
      </c>
      <c r="B11" s="2">
        <f>LOG10(2*10^3)</f>
        <v>3.3010299956639813</v>
      </c>
      <c r="C11" s="1">
        <v>12628</v>
      </c>
      <c r="D11" s="1" t="s">
        <v>5</v>
      </c>
    </row>
    <row r="12" spans="1:4" x14ac:dyDescent="0.25">
      <c r="A12" s="1">
        <v>6</v>
      </c>
      <c r="B12" s="2">
        <f>LOG10(2.625*10^3)</f>
        <v>3.4191293077419758</v>
      </c>
      <c r="C12" s="1">
        <v>12628</v>
      </c>
      <c r="D12" s="1" t="s">
        <v>5</v>
      </c>
    </row>
    <row r="13" spans="1:4" x14ac:dyDescent="0.25">
      <c r="A13" s="1">
        <v>10</v>
      </c>
      <c r="B13" s="2">
        <f>LOG10(1.275*10^3)</f>
        <v>3.1055101847699738</v>
      </c>
      <c r="C13" s="1">
        <v>12628</v>
      </c>
      <c r="D13" s="1" t="s">
        <v>5</v>
      </c>
    </row>
    <row r="14" spans="1:4" x14ac:dyDescent="0.25">
      <c r="A14" s="1">
        <v>14</v>
      </c>
      <c r="B14" s="2">
        <f>LOG10(8.75*10^2)</f>
        <v>2.9420080530223132</v>
      </c>
      <c r="C14" s="1">
        <v>12628</v>
      </c>
      <c r="D14" s="1" t="s">
        <v>5</v>
      </c>
    </row>
    <row r="15" spans="1:4" x14ac:dyDescent="0.25">
      <c r="A15" s="8">
        <v>18</v>
      </c>
      <c r="B15" s="2">
        <f>LOG10(5.125*10^2)</f>
        <v>2.7096938697277917</v>
      </c>
      <c r="C15" s="1">
        <v>12628</v>
      </c>
      <c r="D15" s="1" t="s">
        <v>5</v>
      </c>
    </row>
    <row r="16" spans="1:4" x14ac:dyDescent="0.25">
      <c r="A16" s="1">
        <v>0</v>
      </c>
      <c r="B16" s="2">
        <f>LOG10(3*10^6)</f>
        <v>6.4771212547196626</v>
      </c>
      <c r="C16" s="1">
        <v>12628</v>
      </c>
      <c r="D16" s="1" t="s">
        <v>6</v>
      </c>
    </row>
    <row r="17" spans="1:4" x14ac:dyDescent="0.25">
      <c r="A17" s="1">
        <v>2</v>
      </c>
      <c r="B17" s="2">
        <f>LOG10(1.33*10^4)</f>
        <v>4.1238516409670858</v>
      </c>
      <c r="C17" s="1">
        <v>12628</v>
      </c>
      <c r="D17" s="1" t="s">
        <v>6</v>
      </c>
    </row>
    <row r="18" spans="1:4" x14ac:dyDescent="0.25">
      <c r="A18" s="1">
        <v>4</v>
      </c>
      <c r="B18" s="2">
        <f>LOG10(4.625*10^2)</f>
        <v>2.6651117370750512</v>
      </c>
      <c r="C18" s="1">
        <v>12628</v>
      </c>
      <c r="D18" s="1" t="s">
        <v>6</v>
      </c>
    </row>
    <row r="19" spans="1:4" x14ac:dyDescent="0.25">
      <c r="A19" s="1">
        <v>6</v>
      </c>
      <c r="B19" s="2">
        <f>LOG10(3.125*10^3)</f>
        <v>3.4948500216800942</v>
      </c>
      <c r="C19" s="1">
        <v>12628</v>
      </c>
      <c r="D19" s="1" t="s">
        <v>6</v>
      </c>
    </row>
    <row r="20" spans="1:4" x14ac:dyDescent="0.25">
      <c r="A20" s="1">
        <v>10</v>
      </c>
      <c r="B20" s="2">
        <f>LOG10(5*10^2)</f>
        <v>2.6989700043360187</v>
      </c>
      <c r="C20" s="1">
        <v>12628</v>
      </c>
      <c r="D20" s="1" t="s">
        <v>6</v>
      </c>
    </row>
    <row r="21" spans="1:4" x14ac:dyDescent="0.25">
      <c r="A21" s="1">
        <v>14</v>
      </c>
      <c r="B21" s="2">
        <f>LOG10(1.15*10^3)</f>
        <v>3.0606978403536118</v>
      </c>
      <c r="C21" s="1">
        <v>12628</v>
      </c>
      <c r="D21" s="1" t="s">
        <v>6</v>
      </c>
    </row>
    <row r="22" spans="1:4" x14ac:dyDescent="0.25">
      <c r="A22" s="8">
        <v>18</v>
      </c>
      <c r="B22" s="2">
        <f>LOG10(1.225*10^3)</f>
        <v>3.0881360887005513</v>
      </c>
      <c r="C22" s="1">
        <v>12628</v>
      </c>
      <c r="D22" s="1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90" zoomScaleNormal="90" workbookViewId="0">
      <selection activeCell="M3" sqref="M3"/>
    </sheetView>
  </sheetViews>
  <sheetFormatPr defaultRowHeight="15" x14ac:dyDescent="0.25"/>
  <cols>
    <col min="1" max="1" width="9.140625" style="12"/>
    <col min="2" max="3" width="9.85546875" style="12" customWidth="1"/>
    <col min="4" max="4" width="9.140625" style="12"/>
    <col min="6" max="6" width="11.140625" bestFit="1" customWidth="1"/>
  </cols>
  <sheetData>
    <row r="1" spans="1:33" ht="24" customHeight="1" x14ac:dyDescent="0.25">
      <c r="A1" s="3" t="s">
        <v>0</v>
      </c>
      <c r="B1" s="9" t="s">
        <v>7</v>
      </c>
      <c r="C1" s="9" t="s">
        <v>8</v>
      </c>
      <c r="D1" s="10" t="s">
        <v>9</v>
      </c>
      <c r="E1" s="5"/>
      <c r="F1" s="4" t="s">
        <v>11</v>
      </c>
      <c r="G1" s="4" t="s">
        <v>12</v>
      </c>
      <c r="H1" s="4" t="s">
        <v>16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5">
      <c r="A2" s="11">
        <v>0</v>
      </c>
      <c r="B2" s="11">
        <v>6.4771212547196626</v>
      </c>
      <c r="C2" s="11">
        <f t="shared" ref="C2:C18" si="0">$G$5+LOG10($G$2*EXP(-$G$3*A2)+(1-$G$2)*EXP(-$G$4*A2))</f>
        <v>6.4369960619601665</v>
      </c>
      <c r="D2" s="11">
        <f t="shared" ref="D2:D18" si="1" xml:space="preserve"> (B2 - C2)^2</f>
        <v>1.6100310939867191E-3</v>
      </c>
      <c r="E2" s="5"/>
      <c r="F2" s="5" t="s">
        <v>27</v>
      </c>
      <c r="G2" s="16">
        <v>0.99932861814444851</v>
      </c>
      <c r="H2" s="16">
        <v>1.3883042453824207E-3</v>
      </c>
      <c r="I2" s="5"/>
      <c r="J2" s="5"/>
      <c r="K2" s="5"/>
      <c r="L2" s="6" t="s">
        <v>17</v>
      </c>
      <c r="M2" s="16">
        <v>0.64831246321573199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5">
      <c r="A3" s="11">
        <v>2</v>
      </c>
      <c r="B3" s="11">
        <v>2.5185139398778875</v>
      </c>
      <c r="C3" s="11">
        <f t="shared" si="0"/>
        <v>3.884926199993421</v>
      </c>
      <c r="D3" s="11">
        <f t="shared" si="1"/>
        <v>1.8670824645940405</v>
      </c>
      <c r="E3" s="5"/>
      <c r="F3" s="5" t="s">
        <v>28</v>
      </c>
      <c r="G3" s="16">
        <v>3.0743446516950881</v>
      </c>
      <c r="H3" s="16">
        <v>0.91079158271664618</v>
      </c>
      <c r="I3" s="5"/>
      <c r="J3" s="5"/>
      <c r="K3" s="5"/>
      <c r="L3" s="6" t="s">
        <v>20</v>
      </c>
      <c r="M3" s="16">
        <f>SQRT(M2)</f>
        <v>0.80517852878459939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5">
      <c r="A4" s="11">
        <v>4</v>
      </c>
      <c r="B4" s="11">
        <v>2.7242758696007892</v>
      </c>
      <c r="C4" s="11">
        <f t="shared" si="0"/>
        <v>3.265304299482847</v>
      </c>
      <c r="D4" s="11">
        <f t="shared" si="1"/>
        <v>0.29271176194064474</v>
      </c>
      <c r="E4" s="5"/>
      <c r="F4" s="5" t="s">
        <v>29</v>
      </c>
      <c r="G4" s="16">
        <v>9.2817473608458308E-4</v>
      </c>
      <c r="H4" s="16">
        <v>0.24303791994105287</v>
      </c>
      <c r="I4" s="5"/>
      <c r="J4" s="5"/>
      <c r="K4" s="5"/>
      <c r="L4" s="6" t="s">
        <v>18</v>
      </c>
      <c r="M4" s="16">
        <v>0.73819831780608469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5">
      <c r="A5" s="11">
        <v>6</v>
      </c>
      <c r="B5" s="11">
        <v>3.3979400086720375</v>
      </c>
      <c r="C5" s="11">
        <f t="shared" si="0"/>
        <v>3.2615533924237132</v>
      </c>
      <c r="D5" s="11">
        <f t="shared" si="1"/>
        <v>1.860130909166767E-2</v>
      </c>
      <c r="E5" s="5"/>
      <c r="F5" s="5" t="s">
        <v>14</v>
      </c>
      <c r="G5" s="16">
        <v>6.4369960619601665</v>
      </c>
      <c r="H5" s="16">
        <v>0.46486685815701123</v>
      </c>
      <c r="I5" s="5"/>
      <c r="J5" s="5"/>
      <c r="K5" s="5"/>
      <c r="L5" s="6" t="s">
        <v>19</v>
      </c>
      <c r="M5" s="16">
        <v>0.67778254499210422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5">
      <c r="A6" s="11">
        <v>10</v>
      </c>
      <c r="B6" s="11">
        <v>3.3010299956639813</v>
      </c>
      <c r="C6" s="11">
        <f t="shared" si="0"/>
        <v>3.2599346503612749</v>
      </c>
      <c r="D6" s="11">
        <f t="shared" si="1"/>
        <v>1.6888274055486656E-3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11">
        <v>0</v>
      </c>
      <c r="B7" s="11">
        <v>6.2304489213782741</v>
      </c>
      <c r="C7" s="11">
        <f t="shared" si="0"/>
        <v>6.4369960619601665</v>
      </c>
      <c r="D7" s="11">
        <f t="shared" si="1"/>
        <v>4.2661721282556013E-2</v>
      </c>
      <c r="E7" s="5"/>
      <c r="F7" s="4" t="s">
        <v>21</v>
      </c>
      <c r="G7" s="5"/>
      <c r="H7" s="7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5">
      <c r="A8" s="11">
        <v>2</v>
      </c>
      <c r="B8" s="11">
        <v>3.3617278360175931</v>
      </c>
      <c r="C8" s="11">
        <f t="shared" si="0"/>
        <v>3.884926199993421</v>
      </c>
      <c r="D8" s="11">
        <f t="shared" si="1"/>
        <v>0.27373652806698295</v>
      </c>
      <c r="E8" s="5"/>
      <c r="F8" s="5" t="s">
        <v>30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5">
      <c r="A9" s="11">
        <v>4</v>
      </c>
      <c r="B9" s="11">
        <v>3.3010299956639813</v>
      </c>
      <c r="C9" s="11">
        <f t="shared" si="0"/>
        <v>3.265304299482847</v>
      </c>
      <c r="D9" s="11">
        <f t="shared" si="1"/>
        <v>1.276325367626714E-3</v>
      </c>
      <c r="E9" s="5"/>
      <c r="F9" s="4" t="s">
        <v>23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5">
      <c r="A10" s="11">
        <v>6</v>
      </c>
      <c r="B10" s="11">
        <v>2.3010299956639813</v>
      </c>
      <c r="C10" s="11">
        <f t="shared" si="0"/>
        <v>3.2615533924237132</v>
      </c>
      <c r="D10" s="11">
        <f t="shared" si="1"/>
        <v>0.92260519572285349</v>
      </c>
      <c r="E10" s="5"/>
      <c r="F10" s="5" t="s">
        <v>30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5">
      <c r="A11" s="11">
        <v>8</v>
      </c>
      <c r="B11" s="11">
        <v>3.916453948549925</v>
      </c>
      <c r="C11" s="11">
        <f t="shared" si="0"/>
        <v>3.2607408662282649</v>
      </c>
      <c r="D11" s="11">
        <f t="shared" si="1"/>
        <v>0.42995964632777228</v>
      </c>
      <c r="E11" s="5"/>
      <c r="F11" s="4" t="s">
        <v>25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11">
        <v>10</v>
      </c>
      <c r="B12" s="11">
        <v>2.7096938697277917</v>
      </c>
      <c r="C12" s="11">
        <f t="shared" si="0"/>
        <v>3.2599346503612749</v>
      </c>
      <c r="D12" s="11">
        <f t="shared" si="1"/>
        <v>0.30276491667214506</v>
      </c>
      <c r="E12" s="5"/>
      <c r="F12" s="17" t="s">
        <v>31</v>
      </c>
      <c r="G12" s="18"/>
      <c r="H12" s="18"/>
      <c r="I12" s="18"/>
      <c r="J12" s="18"/>
      <c r="K12" s="18"/>
      <c r="L12" s="18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5">
      <c r="A13" s="11">
        <v>0</v>
      </c>
      <c r="B13" s="11">
        <v>6.6020599913279625</v>
      </c>
      <c r="C13" s="11">
        <f t="shared" si="0"/>
        <v>6.4369960619601665</v>
      </c>
      <c r="D13" s="11">
        <f t="shared" si="1"/>
        <v>2.7246100778336751E-2</v>
      </c>
      <c r="E13" s="5"/>
      <c r="F13" s="18"/>
      <c r="G13" s="18"/>
      <c r="H13" s="18"/>
      <c r="I13" s="18"/>
      <c r="J13" s="18"/>
      <c r="K13" s="18"/>
      <c r="L13" s="18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5">
      <c r="A14" s="11">
        <v>2</v>
      </c>
      <c r="B14" s="11">
        <v>5.7781512503836439</v>
      </c>
      <c r="C14" s="11">
        <f t="shared" si="0"/>
        <v>3.884926199993421</v>
      </c>
      <c r="D14" s="11">
        <f t="shared" si="1"/>
        <v>3.5843010914250617</v>
      </c>
      <c r="E14" s="5"/>
      <c r="F14" s="18"/>
      <c r="G14" s="18"/>
      <c r="H14" s="18"/>
      <c r="I14" s="18"/>
      <c r="J14" s="18"/>
      <c r="K14" s="18"/>
      <c r="L14" s="18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5">
      <c r="A15" s="11">
        <v>4</v>
      </c>
      <c r="B15" s="11">
        <v>3.568201724066995</v>
      </c>
      <c r="C15" s="11">
        <f t="shared" si="0"/>
        <v>3.265304299482847</v>
      </c>
      <c r="D15" s="11">
        <f t="shared" si="1"/>
        <v>9.1746849819709653E-2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5">
      <c r="A16" s="11">
        <v>6</v>
      </c>
      <c r="B16" s="11">
        <v>3.8129133566428557</v>
      </c>
      <c r="C16" s="11">
        <f t="shared" si="0"/>
        <v>3.2615533924237132</v>
      </c>
      <c r="D16" s="11">
        <f t="shared" si="1"/>
        <v>0.30399781014373406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11">
        <v>8</v>
      </c>
      <c r="B17" s="11">
        <v>3.7501225267834002</v>
      </c>
      <c r="C17" s="11">
        <f t="shared" si="0"/>
        <v>3.2607408662282649</v>
      </c>
      <c r="D17" s="11">
        <f t="shared" si="1"/>
        <v>0.23949440968770169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11">
        <v>10</v>
      </c>
      <c r="B18" s="11">
        <v>3.0969100130080562</v>
      </c>
      <c r="C18" s="11">
        <f t="shared" si="0"/>
        <v>3.2599346503612749</v>
      </c>
      <c r="D18" s="11">
        <f t="shared" si="1"/>
        <v>2.657703238414847E-2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10" t="s">
        <v>10</v>
      </c>
      <c r="B19" s="11"/>
      <c r="C19" s="11"/>
      <c r="D19" s="11">
        <f>SUM(D2:D18)</f>
        <v>8.4280620218045161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11"/>
      <c r="B20" s="11"/>
      <c r="C20" s="11"/>
      <c r="D20" s="11"/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11"/>
      <c r="B21" s="11"/>
      <c r="C21" s="11"/>
      <c r="D21" s="11"/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11">
        <v>0</v>
      </c>
      <c r="B22" s="11"/>
      <c r="C22" s="11">
        <f>$G$5+LOG10($G$2*EXP(-$G$3*A22)+(1-$G$2)*EXP(-$G$4*A22))</f>
        <v>6.4369960619601665</v>
      </c>
      <c r="D22" s="11"/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11">
        <v>0.1</v>
      </c>
      <c r="B23" s="11"/>
      <c r="C23" s="11">
        <f t="shared" ref="C23:C86" si="2">$G$5+LOG10($G$2*EXP(-$G$3*A23)+(1-$G$2)*EXP(-$G$4*A23))</f>
        <v>6.3035838686747612</v>
      </c>
      <c r="D23" s="11"/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11">
        <v>0.2</v>
      </c>
      <c r="B24" s="11"/>
      <c r="C24" s="11">
        <f t="shared" si="2"/>
        <v>6.1702093777978053</v>
      </c>
      <c r="D24" s="11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11">
        <v>0.30000000000000004</v>
      </c>
      <c r="B25" s="11"/>
      <c r="C25" s="11">
        <f t="shared" si="2"/>
        <v>6.0368861204070088</v>
      </c>
      <c r="D25" s="11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11">
        <v>0.4</v>
      </c>
      <c r="B26" s="11"/>
      <c r="C26" s="11">
        <f t="shared" si="2"/>
        <v>5.9036324669580944</v>
      </c>
      <c r="D26" s="11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11">
        <v>0.5</v>
      </c>
      <c r="B27" s="11"/>
      <c r="C27" s="11">
        <f t="shared" si="2"/>
        <v>5.7704733438616289</v>
      </c>
      <c r="D27" s="11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11">
        <v>0.6</v>
      </c>
      <c r="B28" s="11"/>
      <c r="C28" s="11">
        <f t="shared" si="2"/>
        <v>5.6374425469322738</v>
      </c>
      <c r="D28" s="11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11">
        <v>0.7</v>
      </c>
      <c r="B29" s="11"/>
      <c r="C29" s="11">
        <f t="shared" si="2"/>
        <v>5.5045858491032913</v>
      </c>
      <c r="D29" s="11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11">
        <v>0.75</v>
      </c>
      <c r="B30" s="11"/>
      <c r="C30" s="11">
        <f t="shared" si="2"/>
        <v>5.438241362725349</v>
      </c>
      <c r="D30" s="11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11">
        <v>0.89999999999999991</v>
      </c>
      <c r="B31" s="11"/>
      <c r="C31" s="11">
        <f t="shared" si="2"/>
        <v>5.2396640321896371</v>
      </c>
      <c r="D31" s="11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11">
        <v>0.99999999999999989</v>
      </c>
      <c r="B32" s="11"/>
      <c r="C32" s="11">
        <f t="shared" si="2"/>
        <v>5.1077949761560095</v>
      </c>
      <c r="D32" s="11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11">
        <v>1.0999999999999999</v>
      </c>
      <c r="B33" s="11"/>
      <c r="C33" s="11">
        <f t="shared" si="2"/>
        <v>4.9765089054009817</v>
      </c>
      <c r="D33" s="11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11">
        <v>1.2</v>
      </c>
      <c r="B34" s="11"/>
      <c r="C34" s="11">
        <f t="shared" si="2"/>
        <v>4.8460072960182696</v>
      </c>
      <c r="D34" s="11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11">
        <v>1.3</v>
      </c>
      <c r="B35" s="11"/>
      <c r="C35" s="11">
        <f t="shared" si="2"/>
        <v>4.7165573668989467</v>
      </c>
      <c r="D35" s="11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11">
        <v>1.4000000000000001</v>
      </c>
      <c r="B36" s="11"/>
      <c r="C36" s="11">
        <f t="shared" si="2"/>
        <v>4.5885104144492512</v>
      </c>
      <c r="D36" s="11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11">
        <v>1.5000000000000002</v>
      </c>
      <c r="B37" s="11"/>
      <c r="C37" s="11">
        <f t="shared" si="2"/>
        <v>4.4623228012102985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11">
        <v>1.6000000000000003</v>
      </c>
      <c r="B38" s="11"/>
      <c r="C38" s="11">
        <f t="shared" si="2"/>
        <v>4.3385779687330883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11">
        <v>1.7000000000000004</v>
      </c>
      <c r="B39" s="11"/>
      <c r="C39" s="11">
        <f t="shared" si="2"/>
        <v>4.218005999251373</v>
      </c>
      <c r="D39" s="11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1">
        <v>1.8000000000000005</v>
      </c>
      <c r="B40" s="11"/>
      <c r="C40" s="11">
        <f t="shared" si="2"/>
        <v>4.101494659194838</v>
      </c>
      <c r="D40" s="11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11">
        <v>1.9000000000000006</v>
      </c>
      <c r="B41" s="11"/>
      <c r="C41" s="11">
        <f t="shared" si="2"/>
        <v>3.9900829439423373</v>
      </c>
      <c r="D41" s="11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11">
        <v>2.0000000000000004</v>
      </c>
      <c r="B42" s="11"/>
      <c r="C42" s="11">
        <f t="shared" si="2"/>
        <v>3.8849261999934206</v>
      </c>
      <c r="D42" s="11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11">
        <v>2.1000000000000005</v>
      </c>
      <c r="B43" s="11"/>
      <c r="C43" s="11">
        <f t="shared" si="2"/>
        <v>3.7872233016645418</v>
      </c>
      <c r="D43" s="11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11">
        <v>2.2000000000000006</v>
      </c>
      <c r="B44" s="11"/>
      <c r="C44" s="11">
        <f t="shared" si="2"/>
        <v>3.6981038605087901</v>
      </c>
      <c r="D44" s="11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11">
        <v>2.3000000000000007</v>
      </c>
      <c r="B45" s="11"/>
      <c r="C45" s="11">
        <f t="shared" si="2"/>
        <v>3.6184878874922632</v>
      </c>
      <c r="D45" s="11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11">
        <v>2.4000000000000008</v>
      </c>
      <c r="B46" s="11"/>
      <c r="C46" s="11">
        <f t="shared" si="2"/>
        <v>3.5489474825725225</v>
      </c>
      <c r="D46" s="11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11">
        <v>2.5000000000000009</v>
      </c>
      <c r="B47" s="11"/>
      <c r="C47" s="11">
        <f t="shared" si="2"/>
        <v>3.4896101031945777</v>
      </c>
      <c r="D47" s="11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11">
        <v>2.600000000000001</v>
      </c>
      <c r="B48" s="11"/>
      <c r="C48" s="11">
        <f t="shared" si="2"/>
        <v>3.440135902667083</v>
      </c>
      <c r="D48" s="11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11">
        <v>2.7000000000000011</v>
      </c>
      <c r="B49" s="11"/>
      <c r="C49" s="11">
        <f t="shared" si="2"/>
        <v>3.3997772564108941</v>
      </c>
      <c r="D49" s="11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1">
        <v>2.8000000000000012</v>
      </c>
      <c r="B50" s="11"/>
      <c r="C50" s="11">
        <f t="shared" si="2"/>
        <v>3.367499552064305</v>
      </c>
      <c r="D50" s="11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11">
        <v>2.9000000000000012</v>
      </c>
      <c r="B51" s="11"/>
      <c r="C51" s="11">
        <f t="shared" si="2"/>
        <v>3.3421250492900723</v>
      </c>
      <c r="D51" s="11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11">
        <v>3.0000000000000013</v>
      </c>
      <c r="B52" s="11"/>
      <c r="C52" s="11">
        <f t="shared" si="2"/>
        <v>3.3224632129634246</v>
      </c>
      <c r="D52" s="11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11">
        <v>3.1000000000000014</v>
      </c>
      <c r="B53" s="11"/>
      <c r="C53" s="11">
        <f t="shared" si="2"/>
        <v>3.307405642945314</v>
      </c>
      <c r="D53" s="11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11">
        <v>3.2000000000000015</v>
      </c>
      <c r="B54" s="11"/>
      <c r="C54" s="11">
        <f t="shared" si="2"/>
        <v>3.2959805662748991</v>
      </c>
      <c r="D54" s="11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11">
        <v>3.3000000000000016</v>
      </c>
      <c r="B55" s="11"/>
      <c r="C55" s="11">
        <f t="shared" si="2"/>
        <v>3.2873732589832612</v>
      </c>
      <c r="D55" s="11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11">
        <v>3.4000000000000017</v>
      </c>
      <c r="B56" s="11"/>
      <c r="C56" s="11">
        <f t="shared" si="2"/>
        <v>3.2809231657946798</v>
      </c>
      <c r="D56" s="11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11">
        <v>3.5000000000000018</v>
      </c>
      <c r="B57" s="11"/>
      <c r="C57" s="11">
        <f t="shared" si="2"/>
        <v>3.2761079958595039</v>
      </c>
      <c r="D57" s="11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11">
        <v>3.6000000000000019</v>
      </c>
      <c r="B58" s="11"/>
      <c r="C58" s="11">
        <f t="shared" si="2"/>
        <v>3.2725224520126064</v>
      </c>
      <c r="D58" s="11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11">
        <v>3.700000000000002</v>
      </c>
      <c r="B59" s="11"/>
      <c r="C59" s="11">
        <f t="shared" si="2"/>
        <v>3.2698563873290718</v>
      </c>
      <c r="D59" s="11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11">
        <v>3.800000000000002</v>
      </c>
      <c r="B60" s="11"/>
      <c r="C60" s="11">
        <f t="shared" si="2"/>
        <v>3.2678749182358708</v>
      </c>
      <c r="D60" s="11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11">
        <v>3.9000000000000021</v>
      </c>
      <c r="B61" s="11"/>
      <c r="C61" s="11">
        <f t="shared" si="2"/>
        <v>3.2664015242459854</v>
      </c>
      <c r="D61" s="11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11">
        <v>4.0000000000000018</v>
      </c>
      <c r="B62" s="11"/>
      <c r="C62" s="11">
        <f t="shared" si="2"/>
        <v>3.265304299482847</v>
      </c>
      <c r="D62" s="11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11">
        <v>4.1000000000000014</v>
      </c>
      <c r="B63" s="11"/>
      <c r="C63" s="11">
        <f t="shared" si="2"/>
        <v>3.2644850904664255</v>
      </c>
      <c r="D63" s="11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11">
        <v>4.2000000000000011</v>
      </c>
      <c r="B64" s="11"/>
      <c r="C64" s="11">
        <f t="shared" si="2"/>
        <v>3.2638710859215254</v>
      </c>
      <c r="D64" s="11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11">
        <v>4.3000000000000007</v>
      </c>
      <c r="B65" s="11"/>
      <c r="C65" s="11">
        <f t="shared" si="2"/>
        <v>3.2634083972097758</v>
      </c>
      <c r="D65" s="11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11">
        <v>4.4000000000000004</v>
      </c>
      <c r="B66" s="11"/>
      <c r="C66" s="11">
        <f t="shared" si="2"/>
        <v>3.2630572078281568</v>
      </c>
      <c r="D66" s="11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11">
        <v>4.5</v>
      </c>
      <c r="B67" s="11"/>
      <c r="C67" s="11">
        <f t="shared" si="2"/>
        <v>3.2627881352294943</v>
      </c>
      <c r="D67" s="11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11">
        <v>4.5999999999999996</v>
      </c>
      <c r="B68" s="11"/>
      <c r="C68" s="11">
        <f t="shared" si="2"/>
        <v>3.2625795164165114</v>
      </c>
      <c r="D68" s="11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11">
        <v>4.6999999999999993</v>
      </c>
      <c r="B69" s="11"/>
      <c r="C69" s="11">
        <f t="shared" si="2"/>
        <v>3.2624153905654909</v>
      </c>
      <c r="D69" s="11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11">
        <v>4.7999999999999989</v>
      </c>
      <c r="B70" s="11"/>
      <c r="C70" s="11">
        <f t="shared" si="2"/>
        <v>3.2622840039131233</v>
      </c>
      <c r="D70" s="11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11">
        <v>4.8999999999999986</v>
      </c>
      <c r="B71" s="11"/>
      <c r="C71" s="11">
        <f t="shared" si="2"/>
        <v>3.2621767039851202</v>
      </c>
      <c r="D71" s="11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11">
        <v>4.9999999999999982</v>
      </c>
      <c r="B72" s="11"/>
      <c r="C72" s="11">
        <f t="shared" si="2"/>
        <v>3.2620871230129129</v>
      </c>
      <c r="D72" s="11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11">
        <v>5.0999999999999979</v>
      </c>
      <c r="B73" s="11"/>
      <c r="C73" s="11">
        <f t="shared" si="2"/>
        <v>3.2620105755758546</v>
      </c>
      <c r="D73" s="11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11">
        <v>5.1999999999999975</v>
      </c>
      <c r="B74" s="11"/>
      <c r="C74" s="11">
        <f t="shared" si="2"/>
        <v>3.2619436146292471</v>
      </c>
      <c r="D74" s="11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11">
        <v>5.2999999999999972</v>
      </c>
      <c r="B75" s="11"/>
      <c r="C75" s="11">
        <f t="shared" si="2"/>
        <v>3.2618837044669897</v>
      </c>
      <c r="D75" s="11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11">
        <v>5.3999999999999968</v>
      </c>
      <c r="B76" s="11"/>
      <c r="C76" s="11">
        <f t="shared" si="2"/>
        <v>3.2618289799258569</v>
      </c>
      <c r="D76" s="11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11">
        <v>5.4999999999999964</v>
      </c>
      <c r="B77" s="11"/>
      <c r="C77" s="11">
        <f t="shared" si="2"/>
        <v>3.2617780691460991</v>
      </c>
      <c r="D77" s="11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11">
        <v>5.5999999999999961</v>
      </c>
      <c r="B78" s="11"/>
      <c r="C78" s="11">
        <f t="shared" si="2"/>
        <v>3.2617299631440053</v>
      </c>
      <c r="D78" s="11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11">
        <v>5.6999999999999957</v>
      </c>
      <c r="B79" s="11"/>
      <c r="C79" s="11">
        <f t="shared" si="2"/>
        <v>3.2616839198492862</v>
      </c>
      <c r="D79" s="11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11">
        <v>5.7999999999999954</v>
      </c>
      <c r="B80" s="11"/>
      <c r="C80" s="11">
        <f t="shared" si="2"/>
        <v>3.2616393935091521</v>
      </c>
      <c r="D80" s="11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11">
        <v>5.899999999999995</v>
      </c>
      <c r="B81" s="11"/>
      <c r="C81" s="11">
        <f t="shared" si="2"/>
        <v>3.2615959827585499</v>
      </c>
      <c r="D81" s="11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11">
        <v>5.9999999999999947</v>
      </c>
      <c r="B82" s="11"/>
      <c r="C82" s="11">
        <f t="shared" si="2"/>
        <v>3.2615533924237132</v>
      </c>
      <c r="D82" s="11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11">
        <v>6.0999999999999943</v>
      </c>
      <c r="B83" s="11"/>
      <c r="C83" s="11">
        <f t="shared" si="2"/>
        <v>3.2615114054285517</v>
      </c>
      <c r="D83" s="11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11">
        <v>6.199999999999994</v>
      </c>
      <c r="B84" s="11"/>
      <c r="C84" s="11">
        <f t="shared" si="2"/>
        <v>3.2614698621324787</v>
      </c>
      <c r="D84" s="11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A85" s="11">
        <v>6.2999999999999936</v>
      </c>
      <c r="B85" s="11"/>
      <c r="C85" s="11">
        <f t="shared" si="2"/>
        <v>3.2614286451343069</v>
      </c>
      <c r="D85" s="11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A86" s="11">
        <v>6.3999999999999932</v>
      </c>
      <c r="B86" s="11"/>
      <c r="C86" s="11">
        <f t="shared" si="2"/>
        <v>3.2613876680964125</v>
      </c>
      <c r="D86" s="11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5">
      <c r="A87" s="11">
        <v>6.4999999999999929</v>
      </c>
      <c r="B87" s="11"/>
      <c r="C87" s="11">
        <f t="shared" ref="C87:C122" si="3">$G$5+LOG10($G$2*EXP(-$G$3*A87)+(1-$G$2)*EXP(-$G$4*A87))</f>
        <v>3.2613468675256958</v>
      </c>
      <c r="D87" s="11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11">
        <v>6.5999999999999925</v>
      </c>
      <c r="B88" s="11"/>
      <c r="C88" s="11">
        <f t="shared" si="3"/>
        <v>3.2613061967291199</v>
      </c>
      <c r="D88" s="11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5">
      <c r="A89" s="11">
        <v>6.6999999999999922</v>
      </c>
      <c r="B89" s="11"/>
      <c r="C89" s="11">
        <f t="shared" si="3"/>
        <v>3.2612656213685201</v>
      </c>
      <c r="D89" s="11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5">
      <c r="A90" s="11">
        <v>6.7999999999999918</v>
      </c>
      <c r="B90" s="11"/>
      <c r="C90" s="11">
        <f t="shared" si="3"/>
        <v>3.2612251161915586</v>
      </c>
      <c r="D90" s="11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5">
      <c r="A91" s="11">
        <v>6.8999999999999915</v>
      </c>
      <c r="B91" s="11"/>
      <c r="C91" s="11">
        <f t="shared" si="3"/>
        <v>3.2611846626276439</v>
      </c>
      <c r="D91" s="11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5">
      <c r="A92" s="11">
        <v>6.9999999999999911</v>
      </c>
      <c r="B92" s="11"/>
      <c r="C92" s="11">
        <f t="shared" si="3"/>
        <v>3.2611442470199545</v>
      </c>
      <c r="D92" s="11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5">
      <c r="A93" s="11">
        <v>7.0999999999999908</v>
      </c>
      <c r="B93" s="11"/>
      <c r="C93" s="11">
        <f t="shared" si="3"/>
        <v>3.2611038593252601</v>
      </c>
      <c r="D93" s="11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5">
      <c r="A94" s="11">
        <v>7.1999999999999904</v>
      </c>
      <c r="B94" s="11"/>
      <c r="C94" s="11">
        <f t="shared" si="3"/>
        <v>3.261063492157771</v>
      </c>
      <c r="D94" s="11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5">
      <c r="A95" s="11">
        <v>7.2999999999999901</v>
      </c>
      <c r="B95" s="11"/>
      <c r="C95" s="11">
        <f t="shared" si="3"/>
        <v>3.2610231400859786</v>
      </c>
      <c r="D95" s="11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5">
      <c r="A96" s="11">
        <v>7.3999999999999897</v>
      </c>
      <c r="B96" s="11"/>
      <c r="C96" s="11">
        <f t="shared" si="3"/>
        <v>3.2609827991155531</v>
      </c>
      <c r="D96" s="11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5">
      <c r="A97" s="11">
        <v>7.4999999999999893</v>
      </c>
      <c r="B97" s="11"/>
      <c r="C97" s="11">
        <f t="shared" si="3"/>
        <v>3.2609424663090665</v>
      </c>
      <c r="D97" s="11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5">
      <c r="A98" s="11">
        <v>7.599999999999989</v>
      </c>
      <c r="B98" s="11"/>
      <c r="C98" s="11">
        <f t="shared" si="3"/>
        <v>3.2609021395063351</v>
      </c>
      <c r="D98" s="11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5">
      <c r="A99" s="11">
        <v>7.6999999999999886</v>
      </c>
      <c r="B99" s="11"/>
      <c r="C99" s="11">
        <f t="shared" si="3"/>
        <v>3.2608618171187622</v>
      </c>
      <c r="D99" s="11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5">
      <c r="A100" s="11">
        <v>7.7999999999999883</v>
      </c>
      <c r="B100" s="11"/>
      <c r="C100" s="11">
        <f t="shared" si="3"/>
        <v>3.2608214979780938</v>
      </c>
      <c r="D100" s="11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5">
      <c r="A101" s="11">
        <v>7.8999999999999879</v>
      </c>
      <c r="B101" s="11"/>
      <c r="C101" s="11">
        <f t="shared" si="3"/>
        <v>3.2607811812251968</v>
      </c>
      <c r="D101" s="11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5">
      <c r="A102" s="11">
        <v>7.9999999999999876</v>
      </c>
      <c r="B102" s="11"/>
      <c r="C102" s="11">
        <f t="shared" si="3"/>
        <v>3.2607408662282649</v>
      </c>
      <c r="D102" s="11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5">
      <c r="A103" s="11">
        <v>8.0999999999999872</v>
      </c>
      <c r="B103" s="11"/>
      <c r="C103" s="11">
        <f t="shared" si="3"/>
        <v>3.2607005525226689</v>
      </c>
      <c r="D103" s="11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5">
      <c r="A104" s="11">
        <v>8.1999999999999869</v>
      </c>
      <c r="B104" s="11"/>
      <c r="C104" s="11">
        <f t="shared" si="3"/>
        <v>3.2606602397667204</v>
      </c>
      <c r="D104" s="11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5">
      <c r="A105" s="11">
        <v>8.2999999999999865</v>
      </c>
      <c r="B105" s="11"/>
      <c r="C105" s="11">
        <f t="shared" si="3"/>
        <v>3.2606199277091426</v>
      </c>
      <c r="D105" s="11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5">
      <c r="A106" s="11">
        <v>8.3999999999999861</v>
      </c>
      <c r="B106" s="11"/>
      <c r="C106" s="11">
        <f t="shared" si="3"/>
        <v>3.260579616165145</v>
      </c>
      <c r="D106" s="11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5">
      <c r="A107" s="11">
        <v>8.4999999999999858</v>
      </c>
      <c r="B107" s="11"/>
      <c r="C107" s="11">
        <f t="shared" si="3"/>
        <v>3.2605393049988347</v>
      </c>
      <c r="D107" s="11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A108" s="11">
        <v>8.5999999999999854</v>
      </c>
      <c r="B108" s="11"/>
      <c r="C108" s="11">
        <f t="shared" si="3"/>
        <v>3.2604989941102751</v>
      </c>
      <c r="D108" s="11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5">
      <c r="A109" s="11">
        <v>8.6999999999999851</v>
      </c>
      <c r="B109" s="11"/>
      <c r="C109" s="11">
        <f t="shared" si="3"/>
        <v>3.2604586834259734</v>
      </c>
      <c r="D109" s="11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5">
      <c r="A110" s="11">
        <v>8.7999999999999847</v>
      </c>
      <c r="B110" s="11"/>
      <c r="C110" s="11">
        <f t="shared" si="3"/>
        <v>3.2604183728918827</v>
      </c>
      <c r="D110" s="11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5">
      <c r="A111" s="11">
        <v>8.8999999999999844</v>
      </c>
      <c r="B111" s="11"/>
      <c r="C111" s="11">
        <f t="shared" si="3"/>
        <v>3.260378062468257</v>
      </c>
      <c r="D111" s="11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5">
      <c r="A112" s="11">
        <v>8.999999999999984</v>
      </c>
      <c r="B112" s="11"/>
      <c r="C112" s="11">
        <f t="shared" si="3"/>
        <v>3.2603377521258672</v>
      </c>
      <c r="D112" s="11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5">
      <c r="A113" s="11">
        <v>9.0999999999999837</v>
      </c>
      <c r="B113" s="11"/>
      <c r="C113" s="11">
        <f t="shared" si="3"/>
        <v>3.2602974418432185</v>
      </c>
      <c r="D113" s="11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5">
      <c r="A114" s="11">
        <v>9.1999999999999833</v>
      </c>
      <c r="B114" s="11"/>
      <c r="C114" s="11">
        <f t="shared" si="3"/>
        <v>3.260257131604503</v>
      </c>
      <c r="D114" s="11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5">
      <c r="A115" s="11">
        <v>9.2999999999999829</v>
      </c>
      <c r="B115" s="11"/>
      <c r="C115" s="11">
        <f t="shared" si="3"/>
        <v>3.260216821398096</v>
      </c>
      <c r="D115" s="11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5">
      <c r="A116" s="11">
        <v>9.3999999999999826</v>
      </c>
      <c r="B116" s="11"/>
      <c r="C116" s="11">
        <f t="shared" si="3"/>
        <v>3.2601765112154486</v>
      </c>
      <c r="D116" s="11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5">
      <c r="A117" s="11">
        <v>9.4999999999999822</v>
      </c>
      <c r="B117" s="11"/>
      <c r="C117" s="11">
        <f t="shared" si="3"/>
        <v>3.2601362010502744</v>
      </c>
      <c r="D117" s="11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5">
      <c r="A118" s="11">
        <v>9.5999999999999819</v>
      </c>
      <c r="B118" s="11"/>
      <c r="C118" s="11">
        <f t="shared" si="3"/>
        <v>3.2600958908979498</v>
      </c>
      <c r="D118" s="11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5">
      <c r="A119" s="11">
        <v>9.6999999999999815</v>
      </c>
      <c r="B119" s="11"/>
      <c r="C119" s="11">
        <f t="shared" si="3"/>
        <v>3.2600555807550742</v>
      </c>
      <c r="D119" s="11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5">
      <c r="A120" s="11">
        <v>9.7999999999999812</v>
      </c>
      <c r="B120" s="11"/>
      <c r="C120" s="11">
        <f t="shared" si="3"/>
        <v>3.2600152706191481</v>
      </c>
      <c r="D120" s="11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5">
      <c r="A121" s="11">
        <v>9.8999999999999808</v>
      </c>
      <c r="B121" s="11"/>
      <c r="C121" s="11">
        <f t="shared" si="3"/>
        <v>3.2599749604883326</v>
      </c>
      <c r="D121" s="11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5">
      <c r="A122" s="11">
        <v>9.9999999999999805</v>
      </c>
      <c r="B122" s="11"/>
      <c r="C122" s="11">
        <f t="shared" si="3"/>
        <v>3.2599346503612749</v>
      </c>
      <c r="D122" s="11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90" zoomScaleNormal="90" workbookViewId="0">
      <selection sqref="A1:D18"/>
    </sheetView>
  </sheetViews>
  <sheetFormatPr defaultRowHeight="15" x14ac:dyDescent="0.25"/>
  <cols>
    <col min="2" max="2" width="9.5703125" bestFit="1" customWidth="1"/>
  </cols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0</v>
      </c>
      <c r="B2" s="2">
        <f>LOG10(3*10^6)</f>
        <v>6.4771212547196626</v>
      </c>
      <c r="C2" s="1">
        <v>12662</v>
      </c>
      <c r="D2" t="s">
        <v>4</v>
      </c>
    </row>
    <row r="3" spans="1:4" x14ac:dyDescent="0.25">
      <c r="A3" s="1">
        <v>2</v>
      </c>
      <c r="B3" s="2">
        <f>LOG10(3.3*10^2)</f>
        <v>2.5185139398778875</v>
      </c>
      <c r="C3" s="1">
        <v>12662</v>
      </c>
      <c r="D3" t="s">
        <v>4</v>
      </c>
    </row>
    <row r="4" spans="1:4" x14ac:dyDescent="0.25">
      <c r="A4" s="1">
        <v>4</v>
      </c>
      <c r="B4" s="2">
        <f>LOG10(5.3*10^2)</f>
        <v>2.7242758696007892</v>
      </c>
      <c r="C4" s="1">
        <v>12662</v>
      </c>
      <c r="D4" t="s">
        <v>4</v>
      </c>
    </row>
    <row r="5" spans="1:4" x14ac:dyDescent="0.25">
      <c r="A5" s="1">
        <v>6</v>
      </c>
      <c r="B5" s="2">
        <f>LOG10(2.5*10^3)</f>
        <v>3.3979400086720375</v>
      </c>
      <c r="C5" s="1">
        <v>12662</v>
      </c>
      <c r="D5" t="s">
        <v>4</v>
      </c>
    </row>
    <row r="6" spans="1:4" x14ac:dyDescent="0.25">
      <c r="A6" s="1">
        <v>10</v>
      </c>
      <c r="B6" s="2">
        <f>LOG10(2*10^3)</f>
        <v>3.3010299956639813</v>
      </c>
      <c r="C6" s="1">
        <v>12662</v>
      </c>
      <c r="D6" t="s">
        <v>4</v>
      </c>
    </row>
    <row r="7" spans="1:4" x14ac:dyDescent="0.25">
      <c r="A7" s="1">
        <v>0</v>
      </c>
      <c r="B7" s="2">
        <f>LOG10(1.7*10^6)</f>
        <v>6.2304489213782741</v>
      </c>
      <c r="C7" s="1">
        <v>12662</v>
      </c>
      <c r="D7" t="s">
        <v>5</v>
      </c>
    </row>
    <row r="8" spans="1:4" x14ac:dyDescent="0.25">
      <c r="A8" s="1">
        <v>2</v>
      </c>
      <c r="B8" s="2">
        <f>LOG10(2.3*10^3)</f>
        <v>3.3617278360175931</v>
      </c>
      <c r="C8" s="1">
        <v>12662</v>
      </c>
      <c r="D8" t="s">
        <v>5</v>
      </c>
    </row>
    <row r="9" spans="1:4" x14ac:dyDescent="0.25">
      <c r="A9" s="1">
        <v>4</v>
      </c>
      <c r="B9" s="2">
        <f>LOG10(2*10^3)</f>
        <v>3.3010299956639813</v>
      </c>
      <c r="C9" s="1">
        <v>12662</v>
      </c>
      <c r="D9" t="s">
        <v>5</v>
      </c>
    </row>
    <row r="10" spans="1:4" x14ac:dyDescent="0.25">
      <c r="A10" s="1">
        <v>6</v>
      </c>
      <c r="B10" s="2">
        <f>LOG10(2*10^2)</f>
        <v>2.3010299956639813</v>
      </c>
      <c r="C10" s="1">
        <v>12662</v>
      </c>
      <c r="D10" t="s">
        <v>5</v>
      </c>
    </row>
    <row r="11" spans="1:4" x14ac:dyDescent="0.25">
      <c r="A11" s="1">
        <v>8</v>
      </c>
      <c r="B11" s="2">
        <f>LOG10(8.25*10^3)</f>
        <v>3.916453948549925</v>
      </c>
      <c r="C11" s="1">
        <v>12662</v>
      </c>
      <c r="D11" t="s">
        <v>5</v>
      </c>
    </row>
    <row r="12" spans="1:4" x14ac:dyDescent="0.25">
      <c r="A12" s="1">
        <v>10</v>
      </c>
      <c r="B12" s="2">
        <f>LOG10(5.125*10^2)</f>
        <v>2.7096938697277917</v>
      </c>
      <c r="C12" s="1">
        <v>12662</v>
      </c>
      <c r="D12" t="s">
        <v>5</v>
      </c>
    </row>
    <row r="13" spans="1:4" x14ac:dyDescent="0.25">
      <c r="A13" s="1">
        <v>0</v>
      </c>
      <c r="B13" s="2">
        <f>LOG10(4*10^6)</f>
        <v>6.6020599913279625</v>
      </c>
      <c r="C13" s="1">
        <v>12662</v>
      </c>
      <c r="D13" t="s">
        <v>6</v>
      </c>
    </row>
    <row r="14" spans="1:4" x14ac:dyDescent="0.25">
      <c r="A14" s="1">
        <v>2</v>
      </c>
      <c r="B14" s="2">
        <f>LOG10(6*10^5)</f>
        <v>5.7781512503836439</v>
      </c>
      <c r="C14" s="1">
        <v>12662</v>
      </c>
      <c r="D14" t="s">
        <v>6</v>
      </c>
    </row>
    <row r="15" spans="1:4" x14ac:dyDescent="0.25">
      <c r="A15" s="1">
        <v>4</v>
      </c>
      <c r="B15" s="2">
        <f>LOG10(3.7*10^3)</f>
        <v>3.568201724066995</v>
      </c>
      <c r="C15" s="1">
        <v>12662</v>
      </c>
      <c r="D15" t="s">
        <v>6</v>
      </c>
    </row>
    <row r="16" spans="1:4" x14ac:dyDescent="0.25">
      <c r="A16" s="1">
        <v>6</v>
      </c>
      <c r="B16" s="2">
        <f>LOG10(6.5*10^3)</f>
        <v>3.8129133566428557</v>
      </c>
      <c r="C16" s="1">
        <v>12662</v>
      </c>
      <c r="D16" t="s">
        <v>6</v>
      </c>
    </row>
    <row r="17" spans="1:4" x14ac:dyDescent="0.25">
      <c r="A17" s="1">
        <v>8</v>
      </c>
      <c r="B17" s="2">
        <f>LOG10(5.625*10^3)</f>
        <v>3.7501225267834002</v>
      </c>
      <c r="C17" s="1">
        <v>12662</v>
      </c>
      <c r="D17" t="s">
        <v>6</v>
      </c>
    </row>
    <row r="18" spans="1:4" x14ac:dyDescent="0.25">
      <c r="A18" s="1">
        <v>10</v>
      </c>
      <c r="B18" s="2">
        <f>LOG10(1.25*10^3)</f>
        <v>3.0969100130080562</v>
      </c>
      <c r="C18" s="1">
        <v>12662</v>
      </c>
      <c r="D18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zoomScale="90" zoomScaleNormal="90" workbookViewId="0">
      <selection activeCell="F1" sqref="F1:H5"/>
    </sheetView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3.28515625" bestFit="1" customWidth="1"/>
  </cols>
  <sheetData>
    <row r="1" spans="1:35" ht="24" customHeight="1" x14ac:dyDescent="0.25">
      <c r="A1" s="3" t="s">
        <v>0</v>
      </c>
      <c r="B1" s="9" t="s">
        <v>7</v>
      </c>
      <c r="C1" s="9" t="s">
        <v>8</v>
      </c>
      <c r="D1" s="10" t="s">
        <v>9</v>
      </c>
      <c r="E1" s="11"/>
      <c r="F1" s="4" t="s">
        <v>11</v>
      </c>
      <c r="G1" s="4" t="s">
        <v>12</v>
      </c>
      <c r="H1" s="4" t="s">
        <v>16</v>
      </c>
      <c r="I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11">
        <v>0</v>
      </c>
      <c r="B2" s="11">
        <v>6.3926969532596658</v>
      </c>
      <c r="C2" s="11">
        <f t="shared" ref="C2:C20" si="0" xml:space="preserve"> LOG((10^$G$5 - 10^$G$4) * EXP(-$G$3 *A2 )  + 10^$G$4)</f>
        <v>6.4413325871654736</v>
      </c>
      <c r="D2" s="11">
        <f t="shared" ref="D2:D20" si="1" xml:space="preserve"> (B2 - C2)^2</f>
        <v>2.3654248854197641E-3</v>
      </c>
      <c r="E2" s="11"/>
      <c r="F2" s="5"/>
      <c r="G2" s="5"/>
      <c r="H2" s="5"/>
      <c r="I2" s="5"/>
      <c r="J2" s="5"/>
      <c r="K2" s="5"/>
      <c r="L2" s="6" t="s">
        <v>17</v>
      </c>
      <c r="M2" s="16">
        <v>0.23147407215253402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1">
        <v>2</v>
      </c>
      <c r="B3" s="11">
        <v>4.2121876044039581</v>
      </c>
      <c r="C3" s="11">
        <f t="shared" si="0"/>
        <v>3.8245945683304789</v>
      </c>
      <c r="D3" s="11">
        <f t="shared" si="1"/>
        <v>0.15022836161265732</v>
      </c>
      <c r="E3" s="11"/>
      <c r="F3" s="5" t="s">
        <v>13</v>
      </c>
      <c r="G3" s="16">
        <v>3.1347856763827155</v>
      </c>
      <c r="H3" s="16">
        <v>0.52095188263320491</v>
      </c>
      <c r="I3" s="5"/>
      <c r="J3" s="5"/>
      <c r="K3" s="5"/>
      <c r="L3" s="6" t="s">
        <v>20</v>
      </c>
      <c r="M3" s="16">
        <f>SQRT(M2)</f>
        <v>0.48111752426255899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11">
        <v>4</v>
      </c>
      <c r="B4" s="11">
        <v>3.7596678446896306</v>
      </c>
      <c r="C4" s="11">
        <f t="shared" si="0"/>
        <v>3.1643396362498275</v>
      </c>
      <c r="D4" s="11">
        <f t="shared" si="1"/>
        <v>0.35441567576414557</v>
      </c>
      <c r="E4" s="11"/>
      <c r="F4" s="5" t="s">
        <v>15</v>
      </c>
      <c r="G4" s="16">
        <v>3.1613860836619465</v>
      </c>
      <c r="H4" s="16">
        <v>0.13376786992646719</v>
      </c>
      <c r="I4" s="5"/>
      <c r="J4" s="5"/>
      <c r="K4" s="5"/>
      <c r="L4" s="6" t="s">
        <v>18</v>
      </c>
      <c r="M4" s="16">
        <v>0.8763417213636383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11">
        <v>6</v>
      </c>
      <c r="B5" s="11">
        <v>4.0107238653917729</v>
      </c>
      <c r="C5" s="11">
        <f t="shared" si="0"/>
        <v>3.161391693873957</v>
      </c>
      <c r="D5" s="11">
        <f t="shared" si="1"/>
        <v>0.72136513757516874</v>
      </c>
      <c r="E5" s="11"/>
      <c r="F5" s="5" t="s">
        <v>14</v>
      </c>
      <c r="G5" s="16">
        <v>6.4413325871654727</v>
      </c>
      <c r="H5" s="16">
        <v>0.27776840770732941</v>
      </c>
      <c r="I5" s="5"/>
      <c r="J5" s="5"/>
      <c r="K5" s="5"/>
      <c r="L5" s="6" t="s">
        <v>19</v>
      </c>
      <c r="M5" s="16">
        <v>0.86088443653409308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11">
        <v>10</v>
      </c>
      <c r="B6" s="11">
        <v>3.4586378490256493</v>
      </c>
      <c r="C6" s="11">
        <f t="shared" si="0"/>
        <v>3.1613860836820518</v>
      </c>
      <c r="D6" s="11">
        <f t="shared" si="1"/>
        <v>8.8358611999885178E-2</v>
      </c>
      <c r="E6" s="11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1">
        <v>14</v>
      </c>
      <c r="B7" s="11">
        <v>3.249198357391113</v>
      </c>
      <c r="C7" s="11">
        <f t="shared" si="0"/>
        <v>3.161386083661947</v>
      </c>
      <c r="D7" s="11">
        <f t="shared" si="1"/>
        <v>7.7109954174859772E-3</v>
      </c>
      <c r="E7" s="11"/>
      <c r="F7" s="4" t="s">
        <v>21</v>
      </c>
      <c r="G7" s="5"/>
      <c r="H7" s="5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11">
        <v>0</v>
      </c>
      <c r="B8" s="11">
        <v>6.5185139398778871</v>
      </c>
      <c r="C8" s="11">
        <f t="shared" si="0"/>
        <v>6.4413325871654736</v>
      </c>
      <c r="D8" s="11">
        <f t="shared" si="1"/>
        <v>5.9569612065179696E-3</v>
      </c>
      <c r="E8" s="11"/>
      <c r="F8" s="5" t="s">
        <v>22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11">
        <v>2</v>
      </c>
      <c r="B9" s="11">
        <v>3.2304489213782741</v>
      </c>
      <c r="C9" s="11">
        <f t="shared" si="0"/>
        <v>3.8245945683304789</v>
      </c>
      <c r="D9" s="11">
        <f t="shared" si="1"/>
        <v>0.35300904979225406</v>
      </c>
      <c r="E9" s="11"/>
      <c r="F9" s="4" t="s">
        <v>23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11">
        <v>4</v>
      </c>
      <c r="B10" s="11">
        <v>3.916453948549925</v>
      </c>
      <c r="C10" s="11">
        <f t="shared" si="0"/>
        <v>3.1643396362498275</v>
      </c>
      <c r="D10" s="11">
        <f t="shared" si="1"/>
        <v>0.56567593876664857</v>
      </c>
      <c r="E10" s="11"/>
      <c r="F10" s="5" t="s">
        <v>24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11">
        <v>6</v>
      </c>
      <c r="B11" s="11">
        <v>2.9661417327390325</v>
      </c>
      <c r="C11" s="11">
        <f t="shared" si="0"/>
        <v>3.161391693873957</v>
      </c>
      <c r="D11" s="11">
        <f t="shared" si="1"/>
        <v>3.8122547323189544E-2</v>
      </c>
      <c r="E11" s="11"/>
      <c r="F11" s="4" t="s">
        <v>25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11">
        <v>10</v>
      </c>
      <c r="B12" s="11">
        <v>2.8450980400142569</v>
      </c>
      <c r="C12" s="11">
        <f t="shared" si="0"/>
        <v>3.1613860836820518</v>
      </c>
      <c r="D12" s="11">
        <f t="shared" si="1"/>
        <v>0.10003812656720089</v>
      </c>
      <c r="E12" s="11"/>
      <c r="F12" s="19" t="s">
        <v>26</v>
      </c>
      <c r="G12" s="20"/>
      <c r="H12" s="20"/>
      <c r="I12" s="20"/>
      <c r="J12" s="20"/>
      <c r="K12" s="20"/>
      <c r="L12" s="20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11">
        <v>18</v>
      </c>
      <c r="B13" s="11">
        <v>2.7303784685876429</v>
      </c>
      <c r="C13" s="11">
        <f t="shared" si="0"/>
        <v>3.161386083661947</v>
      </c>
      <c r="D13" s="11">
        <f t="shared" si="1"/>
        <v>0.18576756425203947</v>
      </c>
      <c r="E13" s="11"/>
      <c r="F13" s="20"/>
      <c r="G13" s="20"/>
      <c r="H13" s="20"/>
      <c r="I13" s="20"/>
      <c r="J13" s="20"/>
      <c r="K13" s="20"/>
      <c r="L13" s="20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11">
        <v>0</v>
      </c>
      <c r="B14" s="11">
        <v>6.419955748489758</v>
      </c>
      <c r="C14" s="11">
        <f t="shared" si="0"/>
        <v>6.4413325871654736</v>
      </c>
      <c r="D14" s="11">
        <f t="shared" si="1"/>
        <v>4.5696923176757046E-4</v>
      </c>
      <c r="E14" s="11"/>
      <c r="F14" s="20"/>
      <c r="G14" s="20"/>
      <c r="H14" s="20"/>
      <c r="I14" s="20"/>
      <c r="J14" s="20"/>
      <c r="K14" s="20"/>
      <c r="L14" s="20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11">
        <v>2</v>
      </c>
      <c r="B15" s="11">
        <v>4.012837224705172</v>
      </c>
      <c r="C15" s="11">
        <f t="shared" si="0"/>
        <v>3.8245945683304789</v>
      </c>
      <c r="D15" s="11">
        <f t="shared" si="1"/>
        <v>3.543529767900077E-2</v>
      </c>
      <c r="E15" s="11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11">
        <v>4</v>
      </c>
      <c r="B16" s="11">
        <v>2.8750612633917001</v>
      </c>
      <c r="C16" s="11">
        <f t="shared" si="0"/>
        <v>3.1643396362498275</v>
      </c>
      <c r="D16" s="11">
        <f t="shared" si="1"/>
        <v>8.368197700344579E-2</v>
      </c>
      <c r="E16" s="11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11">
        <v>6</v>
      </c>
      <c r="B17" s="11">
        <v>2.2430380486862944</v>
      </c>
      <c r="C17" s="11">
        <f t="shared" si="0"/>
        <v>3.161391693873957</v>
      </c>
      <c r="D17" s="11">
        <f t="shared" si="1"/>
        <v>0.84337341762946727</v>
      </c>
      <c r="E17" s="11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11">
        <v>10</v>
      </c>
      <c r="B18" s="11">
        <v>2.8129133566428557</v>
      </c>
      <c r="C18" s="11">
        <f t="shared" si="0"/>
        <v>3.1613860836820518</v>
      </c>
      <c r="D18" s="11">
        <f t="shared" si="1"/>
        <v>0.12143324149013406</v>
      </c>
      <c r="E18" s="11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11">
        <v>14</v>
      </c>
      <c r="B19" s="11">
        <v>2.9777236052888476</v>
      </c>
      <c r="C19" s="11">
        <f t="shared" si="0"/>
        <v>3.161386083661947</v>
      </c>
      <c r="D19" s="11">
        <f t="shared" si="1"/>
        <v>3.3731905962149186E-2</v>
      </c>
      <c r="E19" s="11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11">
        <v>18</v>
      </c>
      <c r="B20" s="11">
        <v>3.2730012720637376</v>
      </c>
      <c r="C20" s="11">
        <f t="shared" si="0"/>
        <v>3.161386083661947</v>
      </c>
      <c r="D20" s="11">
        <f t="shared" si="1"/>
        <v>1.2457950281967218E-2</v>
      </c>
      <c r="E20" s="11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10" t="s">
        <v>10</v>
      </c>
      <c r="B21" s="11"/>
      <c r="C21" s="11"/>
      <c r="D21" s="11">
        <f>SUM(D2:D20)</f>
        <v>3.7035851544405443</v>
      </c>
      <c r="E21" s="11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11"/>
      <c r="B22" s="11"/>
      <c r="C22" s="11"/>
      <c r="D22" s="11"/>
      <c r="E22" s="11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1"/>
      <c r="B23" s="11"/>
      <c r="C23" s="11"/>
      <c r="D23" s="11"/>
      <c r="E23" s="11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11">
        <v>0</v>
      </c>
      <c r="B24" s="11"/>
      <c r="C24" s="11">
        <f xml:space="preserve"> LOG((10^$G$5 - 10^$G$4) * EXP(-$G$3 *A24 )  + 10^$G$4)</f>
        <v>6.4413325871654736</v>
      </c>
      <c r="D24" s="11"/>
      <c r="E24" s="11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11">
        <v>0.18</v>
      </c>
      <c r="B25" s="11"/>
      <c r="C25" s="11">
        <f t="shared" ref="C25:C88" si="2" xml:space="preserve"> LOG((10^$G$5 - 10^$G$4) * EXP(-$G$3 *A25 )  + 10^$G$4)</f>
        <v>6.1964497502739979</v>
      </c>
      <c r="D25" s="11"/>
      <c r="E25" s="11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11">
        <v>0.36</v>
      </c>
      <c r="B26" s="11"/>
      <c r="C26" s="11">
        <f t="shared" si="2"/>
        <v>5.9516977434859735</v>
      </c>
      <c r="D26" s="11"/>
      <c r="E26" s="11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A27" s="11">
        <v>0.54</v>
      </c>
      <c r="B27" s="11"/>
      <c r="C27" s="11">
        <f t="shared" si="2"/>
        <v>5.707175407957723</v>
      </c>
      <c r="D27" s="11"/>
      <c r="E27" s="11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5">
      <c r="A28" s="11">
        <v>0.74</v>
      </c>
      <c r="B28" s="11"/>
      <c r="C28" s="11">
        <f t="shared" si="2"/>
        <v>5.435967666455042</v>
      </c>
      <c r="D28" s="11"/>
      <c r="E28" s="11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5">
      <c r="A29" s="11">
        <v>0.89999999999999991</v>
      </c>
      <c r="B29" s="11"/>
      <c r="C29" s="11">
        <f t="shared" si="2"/>
        <v>5.2196409487215449</v>
      </c>
      <c r="D29" s="11"/>
      <c r="E29" s="11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5">
      <c r="A30" s="11">
        <v>1.0799999999999998</v>
      </c>
      <c r="B30" s="11"/>
      <c r="C30" s="11">
        <f t="shared" si="2"/>
        <v>4.9774551042557835</v>
      </c>
      <c r="D30" s="11"/>
      <c r="E30" s="11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5">
      <c r="A31" s="11">
        <v>1.2599999999999998</v>
      </c>
      <c r="B31" s="11"/>
      <c r="C31" s="11">
        <f t="shared" si="2"/>
        <v>4.7373994518083711</v>
      </c>
      <c r="D31" s="11"/>
      <c r="E31" s="11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5">
      <c r="A32" s="11">
        <v>1.4399999999999997</v>
      </c>
      <c r="B32" s="11"/>
      <c r="C32" s="11">
        <f t="shared" si="2"/>
        <v>4.5009973230284945</v>
      </c>
      <c r="D32" s="11"/>
      <c r="E32" s="11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5">
      <c r="A33" s="11">
        <v>1.6199999999999997</v>
      </c>
      <c r="B33" s="11"/>
      <c r="C33" s="11">
        <f t="shared" si="2"/>
        <v>4.2707499045229085</v>
      </c>
      <c r="D33" s="11"/>
      <c r="E33" s="11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5">
      <c r="A34" s="11">
        <v>1.7999999999999996</v>
      </c>
      <c r="B34" s="11"/>
      <c r="C34" s="11">
        <f t="shared" si="2"/>
        <v>4.0505645499625071</v>
      </c>
      <c r="D34" s="11"/>
      <c r="E34" s="11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5">
      <c r="A35" s="11">
        <v>1.9799999999999995</v>
      </c>
      <c r="B35" s="11"/>
      <c r="C35" s="11">
        <f t="shared" si="2"/>
        <v>3.8460532837845633</v>
      </c>
      <c r="D35" s="11"/>
      <c r="E35" s="11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5">
      <c r="A36" s="11">
        <v>2.1599999999999997</v>
      </c>
      <c r="B36" s="11"/>
      <c r="C36" s="11">
        <f t="shared" si="2"/>
        <v>3.6642208685475133</v>
      </c>
      <c r="D36" s="11"/>
      <c r="E36" s="11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5">
      <c r="A37" s="11">
        <v>2.34</v>
      </c>
      <c r="B37" s="11"/>
      <c r="C37" s="11">
        <f t="shared" si="2"/>
        <v>3.5119517938681404</v>
      </c>
      <c r="D37" s="11"/>
      <c r="E37" s="11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5">
      <c r="A38" s="11">
        <v>2.52</v>
      </c>
      <c r="B38" s="11"/>
      <c r="C38" s="11">
        <f t="shared" si="2"/>
        <v>3.3934210195823855</v>
      </c>
      <c r="D38" s="11"/>
      <c r="E38" s="11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5">
      <c r="A39" s="11">
        <v>2.7</v>
      </c>
      <c r="B39" s="11"/>
      <c r="C39" s="11">
        <f t="shared" si="2"/>
        <v>3.3080360948084713</v>
      </c>
      <c r="D39" s="11"/>
      <c r="E39" s="11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5">
      <c r="A40" s="11">
        <v>2.8800000000000003</v>
      </c>
      <c r="B40" s="11"/>
      <c r="C40" s="11">
        <f t="shared" si="2"/>
        <v>3.250750520554778</v>
      </c>
      <c r="D40" s="11"/>
      <c r="E40" s="11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5">
      <c r="A41" s="11">
        <v>3.0600000000000005</v>
      </c>
      <c r="B41" s="11"/>
      <c r="C41" s="11">
        <f t="shared" si="2"/>
        <v>3.2144449237209964</v>
      </c>
      <c r="D41" s="11"/>
      <c r="E41" s="11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5">
      <c r="A42" s="11">
        <v>3.2400000000000007</v>
      </c>
      <c r="B42" s="11"/>
      <c r="C42" s="11">
        <f t="shared" si="2"/>
        <v>3.1923549405052047</v>
      </c>
      <c r="D42" s="11"/>
      <c r="E42" s="11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5">
      <c r="A43" s="11">
        <v>3.4200000000000008</v>
      </c>
      <c r="B43" s="11"/>
      <c r="C43" s="11">
        <f t="shared" si="2"/>
        <v>3.1792704324346421</v>
      </c>
      <c r="D43" s="11"/>
      <c r="E43" s="11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5">
      <c r="A44" s="11">
        <v>3.600000000000001</v>
      </c>
      <c r="B44" s="11"/>
      <c r="C44" s="11">
        <f t="shared" si="2"/>
        <v>3.1716484866315446</v>
      </c>
      <c r="D44" s="11"/>
      <c r="E44" s="11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5">
      <c r="A45" s="11">
        <v>3.7800000000000011</v>
      </c>
      <c r="B45" s="11"/>
      <c r="C45" s="11">
        <f t="shared" si="2"/>
        <v>3.1672528402176776</v>
      </c>
      <c r="D45" s="11"/>
      <c r="E45" s="11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5">
      <c r="A46" s="11">
        <v>3.9600000000000013</v>
      </c>
      <c r="B46" s="11"/>
      <c r="C46" s="11">
        <f t="shared" si="2"/>
        <v>3.164732690913727</v>
      </c>
      <c r="D46" s="11"/>
      <c r="E46" s="11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5">
      <c r="A47" s="11">
        <v>4.1400000000000015</v>
      </c>
      <c r="B47" s="11"/>
      <c r="C47" s="11">
        <f t="shared" si="2"/>
        <v>3.1632927286355206</v>
      </c>
      <c r="D47" s="11"/>
      <c r="E47" s="11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5">
      <c r="A48" s="11">
        <v>4.3200000000000012</v>
      </c>
      <c r="B48" s="11"/>
      <c r="C48" s="11">
        <f t="shared" si="2"/>
        <v>3.1624715716583034</v>
      </c>
      <c r="D48" s="11"/>
      <c r="E48" s="11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5">
      <c r="A49" s="11">
        <v>4.5000000000000009</v>
      </c>
      <c r="B49" s="11"/>
      <c r="C49" s="11">
        <f t="shared" si="2"/>
        <v>3.1620038202934428</v>
      </c>
      <c r="D49" s="11"/>
      <c r="E49" s="11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5">
      <c r="A50" s="11">
        <v>4.6800000000000006</v>
      </c>
      <c r="B50" s="11"/>
      <c r="C50" s="11">
        <f t="shared" si="2"/>
        <v>3.1617375477002962</v>
      </c>
      <c r="D50" s="11"/>
      <c r="E50" s="11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5">
      <c r="A51" s="11">
        <v>4.8600000000000003</v>
      </c>
      <c r="B51" s="11"/>
      <c r="C51" s="11">
        <f t="shared" si="2"/>
        <v>3.1615860242857323</v>
      </c>
      <c r="D51" s="11"/>
      <c r="E51" s="11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5">
      <c r="A52" s="11">
        <v>5.04</v>
      </c>
      <c r="B52" s="11"/>
      <c r="C52" s="11">
        <f t="shared" si="2"/>
        <v>3.1614998171941151</v>
      </c>
      <c r="D52" s="11"/>
      <c r="E52" s="11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5">
      <c r="A53" s="11">
        <v>5.22</v>
      </c>
      <c r="B53" s="11"/>
      <c r="C53" s="11">
        <f t="shared" si="2"/>
        <v>3.1614507766820901</v>
      </c>
      <c r="D53" s="11"/>
      <c r="E53" s="11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5">
      <c r="A54" s="11">
        <v>5.3999999999999995</v>
      </c>
      <c r="B54" s="11"/>
      <c r="C54" s="11">
        <f t="shared" si="2"/>
        <v>3.1614228809449272</v>
      </c>
      <c r="D54" s="11"/>
      <c r="E54" s="11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5">
      <c r="A55" s="11">
        <v>5.5799999999999992</v>
      </c>
      <c r="B55" s="11"/>
      <c r="C55" s="11">
        <f t="shared" si="2"/>
        <v>3.1614070136058618</v>
      </c>
      <c r="D55" s="11"/>
      <c r="E55" s="11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5">
      <c r="A56" s="11">
        <v>5.7599999999999989</v>
      </c>
      <c r="B56" s="11"/>
      <c r="C56" s="11">
        <f t="shared" si="2"/>
        <v>3.1613979883208252</v>
      </c>
      <c r="D56" s="11"/>
      <c r="E56" s="11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5">
      <c r="A57" s="11">
        <v>5.9399999999999986</v>
      </c>
      <c r="B57" s="11"/>
      <c r="C57" s="11">
        <f t="shared" si="2"/>
        <v>3.1613928548347978</v>
      </c>
      <c r="D57" s="11"/>
      <c r="E57" s="11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5">
      <c r="A58" s="11">
        <v>6.1199999999999983</v>
      </c>
      <c r="B58" s="11"/>
      <c r="C58" s="11">
        <f t="shared" si="2"/>
        <v>3.1613899349831311</v>
      </c>
      <c r="D58" s="11"/>
      <c r="E58" s="11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5">
      <c r="A59" s="11">
        <v>6.299999999999998</v>
      </c>
      <c r="B59" s="11"/>
      <c r="C59" s="11">
        <f t="shared" si="2"/>
        <v>3.1613882742209074</v>
      </c>
      <c r="D59" s="11"/>
      <c r="E59" s="11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5">
      <c r="A60" s="11">
        <v>6.4799999999999978</v>
      </c>
      <c r="B60" s="11"/>
      <c r="C60" s="11">
        <f t="shared" si="2"/>
        <v>3.1613873296096036</v>
      </c>
      <c r="D60" s="11"/>
      <c r="E60" s="11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5">
      <c r="A61" s="11">
        <v>6.6599999999999975</v>
      </c>
      <c r="B61" s="11"/>
      <c r="C61" s="11">
        <f t="shared" si="2"/>
        <v>3.1613867923325936</v>
      </c>
      <c r="D61" s="11"/>
      <c r="E61" s="11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5">
      <c r="A62" s="11">
        <v>6.8399999999999972</v>
      </c>
      <c r="B62" s="11"/>
      <c r="C62" s="11">
        <f t="shared" si="2"/>
        <v>3.1613864867398358</v>
      </c>
      <c r="D62" s="11"/>
      <c r="E62" s="11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5">
      <c r="A63" s="11">
        <v>7.0199999999999969</v>
      </c>
      <c r="B63" s="11"/>
      <c r="C63" s="11">
        <f t="shared" si="2"/>
        <v>3.1613863129246669</v>
      </c>
      <c r="D63" s="11"/>
      <c r="E63" s="11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5">
      <c r="A64" s="11">
        <v>7.1999999999999966</v>
      </c>
      <c r="B64" s="11"/>
      <c r="C64" s="11">
        <f t="shared" si="2"/>
        <v>3.1613862140620301</v>
      </c>
      <c r="D64" s="11"/>
      <c r="E64" s="11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5">
      <c r="A65" s="11">
        <v>7.3799999999999963</v>
      </c>
      <c r="B65" s="11"/>
      <c r="C65" s="11">
        <f t="shared" si="2"/>
        <v>3.1613861578309215</v>
      </c>
      <c r="D65" s="11"/>
      <c r="E65" s="11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5">
      <c r="A66" s="11">
        <v>7.5599999999999961</v>
      </c>
      <c r="B66" s="11"/>
      <c r="C66" s="11">
        <f t="shared" si="2"/>
        <v>3.161386125847784</v>
      </c>
      <c r="D66" s="11"/>
      <c r="E66" s="11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5">
      <c r="A67" s="11">
        <v>7.7399999999999958</v>
      </c>
      <c r="B67" s="11"/>
      <c r="C67" s="11">
        <f t="shared" si="2"/>
        <v>3.1613861076564111</v>
      </c>
      <c r="D67" s="11"/>
      <c r="E67" s="11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5">
      <c r="A68" s="11">
        <v>7.9199999999999955</v>
      </c>
      <c r="B68" s="11"/>
      <c r="C68" s="11">
        <f t="shared" si="2"/>
        <v>3.1613860973095202</v>
      </c>
      <c r="D68" s="11"/>
      <c r="E68" s="11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5">
      <c r="A69" s="11">
        <v>8.0999999999999961</v>
      </c>
      <c r="B69" s="11"/>
      <c r="C69" s="11">
        <f t="shared" si="2"/>
        <v>3.161386091424415</v>
      </c>
      <c r="D69" s="11"/>
      <c r="E69" s="11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5">
      <c r="A70" s="11">
        <v>8.2799999999999958</v>
      </c>
      <c r="B70" s="11"/>
      <c r="C70" s="11">
        <f t="shared" si="2"/>
        <v>3.1613860880770841</v>
      </c>
      <c r="D70" s="11"/>
      <c r="E70" s="11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5">
      <c r="A71" s="11">
        <v>8.4599999999999955</v>
      </c>
      <c r="B71" s="11"/>
      <c r="C71" s="11">
        <f t="shared" si="2"/>
        <v>3.1613860861731888</v>
      </c>
      <c r="D71" s="11"/>
      <c r="E71" s="11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5">
      <c r="A72" s="11">
        <v>8.6399999999999952</v>
      </c>
      <c r="B72" s="11"/>
      <c r="C72" s="11">
        <f t="shared" si="2"/>
        <v>3.1613860850902915</v>
      </c>
      <c r="D72" s="11"/>
      <c r="E72" s="11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5">
      <c r="A73" s="11">
        <v>8.819999999999995</v>
      </c>
      <c r="B73" s="11"/>
      <c r="C73" s="11">
        <f t="shared" si="2"/>
        <v>3.1613860844743611</v>
      </c>
      <c r="D73" s="11"/>
      <c r="E73" s="11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5">
      <c r="A74" s="11">
        <v>8.9999999999999947</v>
      </c>
      <c r="B74" s="11"/>
      <c r="C74" s="11">
        <f t="shared" si="2"/>
        <v>3.161386084124032</v>
      </c>
      <c r="D74" s="11"/>
      <c r="E74" s="11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5">
      <c r="A75" s="11">
        <v>9.1799999999999944</v>
      </c>
      <c r="B75" s="11"/>
      <c r="C75" s="11">
        <f t="shared" si="2"/>
        <v>3.1613860839247718</v>
      </c>
      <c r="D75" s="11"/>
      <c r="E75" s="11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5">
      <c r="A76" s="11">
        <v>9.3599999999999941</v>
      </c>
      <c r="B76" s="11"/>
      <c r="C76" s="11">
        <f t="shared" si="2"/>
        <v>3.1613860838114363</v>
      </c>
      <c r="D76" s="11"/>
      <c r="E76" s="11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5">
      <c r="A77" s="11">
        <v>9.5399999999999938</v>
      </c>
      <c r="B77" s="11"/>
      <c r="C77" s="11">
        <f t="shared" si="2"/>
        <v>3.1613860837469736</v>
      </c>
      <c r="D77" s="11"/>
      <c r="E77" s="11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5">
      <c r="A78" s="11">
        <v>9.7199999999999935</v>
      </c>
      <c r="B78" s="11"/>
      <c r="C78" s="11">
        <f t="shared" si="2"/>
        <v>3.1613860837103083</v>
      </c>
      <c r="D78" s="11"/>
      <c r="E78" s="11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5">
      <c r="A79" s="11">
        <v>9.8999999999999932</v>
      </c>
      <c r="B79" s="11"/>
      <c r="C79" s="11">
        <f t="shared" si="2"/>
        <v>3.1613860836894538</v>
      </c>
      <c r="D79" s="11"/>
      <c r="E79" s="11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5">
      <c r="A80" s="11">
        <v>10.079999999999993</v>
      </c>
      <c r="B80" s="11"/>
      <c r="C80" s="11">
        <f t="shared" si="2"/>
        <v>3.1613860836775927</v>
      </c>
      <c r="D80" s="11"/>
      <c r="E80" s="11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5">
      <c r="A81" s="11">
        <v>10.259999999999993</v>
      </c>
      <c r="B81" s="11"/>
      <c r="C81" s="11">
        <f t="shared" si="2"/>
        <v>3.1613860836708456</v>
      </c>
      <c r="D81" s="11"/>
      <c r="E81" s="11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5">
      <c r="A82" s="11">
        <v>10.439999999999992</v>
      </c>
      <c r="B82" s="11"/>
      <c r="C82" s="11">
        <f t="shared" si="2"/>
        <v>3.1613860836670087</v>
      </c>
      <c r="D82" s="11"/>
      <c r="E82" s="11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5">
      <c r="A83" s="11">
        <v>10.619999999999992</v>
      </c>
      <c r="B83" s="11"/>
      <c r="C83" s="11">
        <f t="shared" si="2"/>
        <v>3.161386083664826</v>
      </c>
      <c r="D83" s="11"/>
      <c r="E83" s="11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5">
      <c r="A84" s="11">
        <v>10.799999999999992</v>
      </c>
      <c r="B84" s="11"/>
      <c r="C84" s="11">
        <f t="shared" si="2"/>
        <v>3.1613860836635843</v>
      </c>
      <c r="D84" s="11"/>
      <c r="E84" s="11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5">
      <c r="A85" s="11">
        <v>10.979999999999992</v>
      </c>
      <c r="B85" s="11"/>
      <c r="C85" s="11">
        <f t="shared" si="2"/>
        <v>3.1613860836628782</v>
      </c>
      <c r="D85" s="11"/>
      <c r="E85" s="11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5">
      <c r="A86" s="11">
        <v>11.159999999999991</v>
      </c>
      <c r="B86" s="11"/>
      <c r="C86" s="11">
        <f t="shared" si="2"/>
        <v>3.1613860836624768</v>
      </c>
      <c r="D86" s="11"/>
      <c r="E86" s="11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5">
      <c r="A87" s="11">
        <v>11.339999999999991</v>
      </c>
      <c r="B87" s="11"/>
      <c r="C87" s="11">
        <f t="shared" si="2"/>
        <v>3.1613860836622485</v>
      </c>
      <c r="D87" s="11"/>
      <c r="E87" s="11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5">
      <c r="A88" s="11">
        <v>11.519999999999991</v>
      </c>
      <c r="B88" s="11"/>
      <c r="C88" s="11">
        <f t="shared" si="2"/>
        <v>3.1613860836621184</v>
      </c>
      <c r="D88" s="11"/>
      <c r="E88" s="11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5">
      <c r="A89" s="11">
        <v>11.69999999999999</v>
      </c>
      <c r="B89" s="11"/>
      <c r="C89" s="11">
        <f t="shared" ref="C89:C124" si="3" xml:space="preserve"> LOG((10^$G$5 - 10^$G$4) * EXP(-$G$3 *A89 )  + 10^$G$4)</f>
        <v>3.1613860836620447</v>
      </c>
      <c r="D89" s="11"/>
      <c r="E89" s="11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5">
      <c r="A90" s="11">
        <v>11.87999999999999</v>
      </c>
      <c r="B90" s="11"/>
      <c r="C90" s="11">
        <f t="shared" si="3"/>
        <v>3.1613860836620025</v>
      </c>
      <c r="D90" s="11"/>
      <c r="E90" s="11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11">
        <v>12.05999999999999</v>
      </c>
      <c r="B91" s="11"/>
      <c r="C91" s="11">
        <f t="shared" si="3"/>
        <v>3.1613860836619785</v>
      </c>
      <c r="D91" s="11"/>
      <c r="E91" s="11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11">
        <v>12.23999999999999</v>
      </c>
      <c r="B92" s="11"/>
      <c r="C92" s="11">
        <f t="shared" si="3"/>
        <v>3.1613860836619647</v>
      </c>
      <c r="D92" s="11"/>
      <c r="E92" s="11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11">
        <v>12.419999999999989</v>
      </c>
      <c r="B93" s="11"/>
      <c r="C93" s="11">
        <f t="shared" si="3"/>
        <v>3.1613860836619572</v>
      </c>
      <c r="D93" s="11"/>
      <c r="E93" s="11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11">
        <v>12.599999999999989</v>
      </c>
      <c r="B94" s="11"/>
      <c r="C94" s="11">
        <f t="shared" si="3"/>
        <v>3.1613860836619527</v>
      </c>
      <c r="D94" s="11"/>
      <c r="E94" s="11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11">
        <v>12.779999999999989</v>
      </c>
      <c r="B95" s="11"/>
      <c r="C95" s="11">
        <f t="shared" si="3"/>
        <v>3.1613860836619501</v>
      </c>
      <c r="D95" s="11"/>
      <c r="E95" s="11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11">
        <v>12.959999999999988</v>
      </c>
      <c r="B96" s="11"/>
      <c r="C96" s="11">
        <f t="shared" si="3"/>
        <v>3.1613860836619487</v>
      </c>
      <c r="D96" s="11"/>
      <c r="E96" s="11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11">
        <v>13.139999999999988</v>
      </c>
      <c r="B97" s="11"/>
      <c r="C97" s="11">
        <f t="shared" si="3"/>
        <v>3.1613860836619483</v>
      </c>
      <c r="D97" s="11"/>
      <c r="E97" s="11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11">
        <v>13.319999999999988</v>
      </c>
      <c r="B98" s="11"/>
      <c r="C98" s="11">
        <f t="shared" si="3"/>
        <v>3.1613860836619478</v>
      </c>
      <c r="D98" s="11"/>
      <c r="E98" s="11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11">
        <v>13.499999999999988</v>
      </c>
      <c r="B99" s="11"/>
      <c r="C99" s="11">
        <f t="shared" si="3"/>
        <v>3.1613860836619474</v>
      </c>
      <c r="D99" s="11"/>
      <c r="E99" s="11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11">
        <v>13.679999999999987</v>
      </c>
      <c r="B100" s="11"/>
      <c r="C100" s="11">
        <f t="shared" si="3"/>
        <v>3.1613860836619474</v>
      </c>
      <c r="D100" s="11"/>
      <c r="E100" s="11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11">
        <v>13.859999999999987</v>
      </c>
      <c r="B101" s="11"/>
      <c r="C101" s="11">
        <f t="shared" si="3"/>
        <v>3.161386083661947</v>
      </c>
      <c r="D101" s="11"/>
      <c r="E101" s="11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11">
        <v>14.039999999999987</v>
      </c>
      <c r="B102" s="11"/>
      <c r="C102" s="11">
        <f t="shared" si="3"/>
        <v>3.161386083661947</v>
      </c>
      <c r="D102" s="11"/>
      <c r="E102" s="11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11">
        <v>14.219999999999986</v>
      </c>
      <c r="B103" s="11"/>
      <c r="C103" s="11">
        <f t="shared" si="3"/>
        <v>3.161386083661947</v>
      </c>
      <c r="D103" s="11"/>
      <c r="E103" s="11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11">
        <v>14.399999999999986</v>
      </c>
      <c r="B104" s="11"/>
      <c r="C104" s="11">
        <f t="shared" si="3"/>
        <v>3.161386083661947</v>
      </c>
      <c r="D104" s="11"/>
      <c r="E104" s="11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11">
        <v>14.579999999999986</v>
      </c>
      <c r="B105" s="11"/>
      <c r="C105" s="11">
        <f t="shared" si="3"/>
        <v>3.161386083661947</v>
      </c>
      <c r="D105" s="11"/>
      <c r="E105" s="11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11">
        <v>14.759999999999986</v>
      </c>
      <c r="B106" s="11"/>
      <c r="C106" s="11">
        <f t="shared" si="3"/>
        <v>3.161386083661947</v>
      </c>
      <c r="D106" s="11"/>
      <c r="E106" s="11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11">
        <v>14.939999999999985</v>
      </c>
      <c r="B107" s="11"/>
      <c r="C107" s="11">
        <f t="shared" si="3"/>
        <v>3.161386083661947</v>
      </c>
      <c r="D107" s="11"/>
      <c r="E107" s="11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11">
        <v>15.119999999999985</v>
      </c>
      <c r="B108" s="11"/>
      <c r="C108" s="11">
        <f t="shared" si="3"/>
        <v>3.161386083661947</v>
      </c>
      <c r="D108" s="11"/>
      <c r="E108" s="11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11">
        <v>15.299999999999985</v>
      </c>
      <c r="B109" s="11"/>
      <c r="C109" s="11">
        <f t="shared" si="3"/>
        <v>3.161386083661947</v>
      </c>
      <c r="D109" s="11"/>
      <c r="E109" s="11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11">
        <v>15.479999999999984</v>
      </c>
      <c r="B110" s="11"/>
      <c r="C110" s="11">
        <f t="shared" si="3"/>
        <v>3.161386083661947</v>
      </c>
      <c r="D110" s="11"/>
      <c r="E110" s="11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11">
        <v>15.659999999999984</v>
      </c>
      <c r="B111" s="11"/>
      <c r="C111" s="11">
        <f t="shared" si="3"/>
        <v>3.161386083661947</v>
      </c>
      <c r="D111" s="11"/>
      <c r="E111" s="11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11">
        <v>15.839999999999984</v>
      </c>
      <c r="B112" s="11"/>
      <c r="C112" s="11">
        <f t="shared" si="3"/>
        <v>3.161386083661947</v>
      </c>
      <c r="D112" s="11"/>
      <c r="E112" s="11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11">
        <v>16.019999999999985</v>
      </c>
      <c r="B113" s="11"/>
      <c r="C113" s="11">
        <f t="shared" si="3"/>
        <v>3.161386083661947</v>
      </c>
      <c r="D113" s="11"/>
      <c r="E113" s="11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11">
        <v>16.199999999999985</v>
      </c>
      <c r="B114" s="11"/>
      <c r="C114" s="11">
        <f t="shared" si="3"/>
        <v>3.161386083661947</v>
      </c>
      <c r="D114" s="11"/>
      <c r="E114" s="11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11">
        <v>16.379999999999985</v>
      </c>
      <c r="B115" s="11"/>
      <c r="C115" s="11">
        <f t="shared" si="3"/>
        <v>3.161386083661947</v>
      </c>
      <c r="D115" s="11"/>
      <c r="E115" s="11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11">
        <v>16.559999999999985</v>
      </c>
      <c r="B116" s="11"/>
      <c r="C116" s="11">
        <f t="shared" si="3"/>
        <v>3.161386083661947</v>
      </c>
      <c r="D116" s="11"/>
      <c r="E116" s="11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11">
        <v>16.739999999999984</v>
      </c>
      <c r="B117" s="11"/>
      <c r="C117" s="11">
        <f t="shared" si="3"/>
        <v>3.161386083661947</v>
      </c>
      <c r="D117" s="11"/>
      <c r="E117" s="11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11">
        <v>16.919999999999984</v>
      </c>
      <c r="B118" s="11"/>
      <c r="C118" s="11">
        <f t="shared" si="3"/>
        <v>3.161386083661947</v>
      </c>
      <c r="D118" s="11"/>
      <c r="E118" s="11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11">
        <v>17.099999999999984</v>
      </c>
      <c r="B119" s="11"/>
      <c r="C119" s="11">
        <f t="shared" si="3"/>
        <v>3.161386083661947</v>
      </c>
      <c r="D119" s="11"/>
      <c r="E119" s="11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11">
        <v>17.279999999999983</v>
      </c>
      <c r="B120" s="11"/>
      <c r="C120" s="11">
        <f t="shared" si="3"/>
        <v>3.161386083661947</v>
      </c>
      <c r="D120" s="11"/>
      <c r="E120" s="11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11">
        <v>17.459999999999983</v>
      </c>
      <c r="B121" s="11"/>
      <c r="C121" s="11">
        <f t="shared" si="3"/>
        <v>3.161386083661947</v>
      </c>
      <c r="D121" s="11"/>
      <c r="E121" s="11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11">
        <v>17.639999999999983</v>
      </c>
      <c r="B122" s="11"/>
      <c r="C122" s="11">
        <f t="shared" si="3"/>
        <v>3.161386083661947</v>
      </c>
      <c r="D122" s="11"/>
      <c r="E122" s="11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11">
        <v>17.819999999999983</v>
      </c>
      <c r="B123" s="11"/>
      <c r="C123" s="11">
        <f t="shared" si="3"/>
        <v>3.161386083661947</v>
      </c>
      <c r="D123" s="11"/>
      <c r="E123" s="11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11">
        <v>17.999999999999982</v>
      </c>
      <c r="B124" s="11"/>
      <c r="C124" s="11">
        <f t="shared" si="3"/>
        <v>3.161386083661947</v>
      </c>
      <c r="D124" s="11"/>
      <c r="E124" s="11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</sheetData>
  <mergeCells count="1">
    <mergeCell ref="F12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90" zoomScaleNormal="90" workbookViewId="0">
      <selection sqref="A1:D20"/>
    </sheetView>
  </sheetViews>
  <sheetFormatPr defaultRowHeight="15" x14ac:dyDescent="0.25"/>
  <cols>
    <col min="1" max="16384" width="9.140625" style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0</v>
      </c>
      <c r="B2" s="2">
        <f>LOG10(2.47*10^6)</f>
        <v>6.3926969532596658</v>
      </c>
      <c r="C2" s="1">
        <v>12662</v>
      </c>
      <c r="D2" s="1" t="s">
        <v>5</v>
      </c>
    </row>
    <row r="3" spans="1:4" x14ac:dyDescent="0.25">
      <c r="A3" s="1">
        <v>2</v>
      </c>
      <c r="B3" s="2">
        <f>LOG10(1.63*10^4)</f>
        <v>4.2121876044039581</v>
      </c>
      <c r="C3" s="1">
        <v>12662</v>
      </c>
      <c r="D3" s="1" t="s">
        <v>5</v>
      </c>
    </row>
    <row r="4" spans="1:4" x14ac:dyDescent="0.25">
      <c r="A4" s="1">
        <v>4</v>
      </c>
      <c r="B4" s="2">
        <f>LOG10(5.75*10^3)</f>
        <v>3.7596678446896306</v>
      </c>
      <c r="C4" s="1">
        <v>12662</v>
      </c>
      <c r="D4" s="1" t="s">
        <v>5</v>
      </c>
    </row>
    <row r="5" spans="1:4" x14ac:dyDescent="0.25">
      <c r="A5" s="1">
        <v>6</v>
      </c>
      <c r="B5" s="2">
        <f>LOG10(10.25*10^3)</f>
        <v>4.0107238653917729</v>
      </c>
      <c r="C5" s="1">
        <v>12662</v>
      </c>
      <c r="D5" s="1" t="s">
        <v>5</v>
      </c>
    </row>
    <row r="6" spans="1:4" x14ac:dyDescent="0.25">
      <c r="A6" s="1">
        <v>10</v>
      </c>
      <c r="B6" s="2">
        <f>LOG10(2.875*10^3)</f>
        <v>3.4586378490256493</v>
      </c>
      <c r="C6" s="1">
        <v>12662</v>
      </c>
      <c r="D6" s="1" t="s">
        <v>5</v>
      </c>
    </row>
    <row r="7" spans="1:4" x14ac:dyDescent="0.25">
      <c r="A7" s="1">
        <v>14</v>
      </c>
      <c r="B7" s="2">
        <f>LOG10(1.775*10^3)</f>
        <v>3.249198357391113</v>
      </c>
      <c r="C7" s="1">
        <v>12662</v>
      </c>
      <c r="D7" s="1" t="s">
        <v>5</v>
      </c>
    </row>
    <row r="8" spans="1:4" x14ac:dyDescent="0.25">
      <c r="A8" s="1">
        <v>0</v>
      </c>
      <c r="B8" s="2">
        <f>LOG10(3.3*10^6)</f>
        <v>6.5185139398778871</v>
      </c>
      <c r="C8" s="1">
        <v>12662</v>
      </c>
      <c r="D8" s="1" t="s">
        <v>6</v>
      </c>
    </row>
    <row r="9" spans="1:4" x14ac:dyDescent="0.25">
      <c r="A9" s="1">
        <v>2</v>
      </c>
      <c r="B9" s="2">
        <f>LOG10(1.7*10^3)</f>
        <v>3.2304489213782741</v>
      </c>
      <c r="C9" s="1">
        <v>12662</v>
      </c>
      <c r="D9" s="1" t="s">
        <v>6</v>
      </c>
    </row>
    <row r="10" spans="1:4" x14ac:dyDescent="0.25">
      <c r="A10" s="1">
        <v>4</v>
      </c>
      <c r="B10" s="2">
        <f>LOG10(8.25*10^3)</f>
        <v>3.916453948549925</v>
      </c>
      <c r="C10" s="1">
        <v>12662</v>
      </c>
      <c r="D10" s="1" t="s">
        <v>6</v>
      </c>
    </row>
    <row r="11" spans="1:4" x14ac:dyDescent="0.25">
      <c r="A11" s="1">
        <v>6</v>
      </c>
      <c r="B11" s="2">
        <f>LOG10(9.25*10^2)</f>
        <v>2.9661417327390325</v>
      </c>
      <c r="C11" s="1">
        <v>12662</v>
      </c>
      <c r="D11" s="1" t="s">
        <v>6</v>
      </c>
    </row>
    <row r="12" spans="1:4" x14ac:dyDescent="0.25">
      <c r="A12" s="1">
        <v>10</v>
      </c>
      <c r="B12" s="2">
        <f>LOG10(7*10^2)</f>
        <v>2.8450980400142569</v>
      </c>
      <c r="C12" s="1">
        <v>12662</v>
      </c>
      <c r="D12" s="1" t="s">
        <v>6</v>
      </c>
    </row>
    <row r="13" spans="1:4" x14ac:dyDescent="0.25">
      <c r="A13" s="8">
        <v>18</v>
      </c>
      <c r="B13" s="2">
        <f>LOG10(5.375*10^2)</f>
        <v>2.7303784685876429</v>
      </c>
      <c r="C13" s="1">
        <v>12662</v>
      </c>
      <c r="D13" s="1" t="s">
        <v>6</v>
      </c>
    </row>
    <row r="14" spans="1:4" x14ac:dyDescent="0.25">
      <c r="A14" s="1">
        <v>0</v>
      </c>
      <c r="B14" s="2">
        <f>LOG10(2.63*10^6)</f>
        <v>6.419955748489758</v>
      </c>
      <c r="C14" s="1">
        <v>12662</v>
      </c>
      <c r="D14" s="1" t="s">
        <v>32</v>
      </c>
    </row>
    <row r="15" spans="1:4" x14ac:dyDescent="0.25">
      <c r="A15" s="1">
        <v>2</v>
      </c>
      <c r="B15" s="2">
        <f>LOG10(1.03*10^4)</f>
        <v>4.012837224705172</v>
      </c>
      <c r="C15" s="1">
        <v>12662</v>
      </c>
      <c r="D15" s="1" t="s">
        <v>32</v>
      </c>
    </row>
    <row r="16" spans="1:4" x14ac:dyDescent="0.25">
      <c r="A16" s="1">
        <v>4</v>
      </c>
      <c r="B16" s="2">
        <f>LOG10(7.5*10^2)</f>
        <v>2.8750612633917001</v>
      </c>
      <c r="C16" s="1">
        <v>12662</v>
      </c>
      <c r="D16" s="1" t="s">
        <v>32</v>
      </c>
    </row>
    <row r="17" spans="1:4" x14ac:dyDescent="0.25">
      <c r="A17" s="1">
        <v>6</v>
      </c>
      <c r="B17" s="2">
        <f>LOG10(1.75*10^2)</f>
        <v>2.2430380486862944</v>
      </c>
      <c r="C17" s="1">
        <v>12662</v>
      </c>
      <c r="D17" s="1" t="s">
        <v>32</v>
      </c>
    </row>
    <row r="18" spans="1:4" x14ac:dyDescent="0.25">
      <c r="A18" s="1">
        <v>10</v>
      </c>
      <c r="B18" s="2">
        <f>LOG10(6.5*10^2)</f>
        <v>2.8129133566428557</v>
      </c>
      <c r="C18" s="1">
        <v>12662</v>
      </c>
      <c r="D18" s="1" t="s">
        <v>32</v>
      </c>
    </row>
    <row r="19" spans="1:4" x14ac:dyDescent="0.25">
      <c r="A19" s="1">
        <v>14</v>
      </c>
      <c r="B19" s="2">
        <f>LOG10(9.5*10^2)</f>
        <v>2.9777236052888476</v>
      </c>
      <c r="C19" s="1">
        <v>12662</v>
      </c>
      <c r="D19" s="1" t="s">
        <v>32</v>
      </c>
    </row>
    <row r="20" spans="1:4" x14ac:dyDescent="0.25">
      <c r="A20" s="8">
        <v>18</v>
      </c>
      <c r="B20" s="2">
        <f>LOG10(1.875*10^3)</f>
        <v>3.2730012720637376</v>
      </c>
      <c r="C20" s="1">
        <v>12662</v>
      </c>
      <c r="D20" s="1" t="s">
        <v>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zoomScale="90" zoomScaleNormal="90" workbookViewId="0">
      <selection activeCell="A41" sqref="A41"/>
    </sheetView>
  </sheetViews>
  <sheetFormatPr defaultRowHeight="15" x14ac:dyDescent="0.25"/>
  <cols>
    <col min="1" max="1" width="9.140625" style="12"/>
    <col min="2" max="3" width="9.85546875" style="12" customWidth="1"/>
    <col min="4" max="5" width="9.140625" style="12"/>
    <col min="6" max="6" width="11.140625" style="12" bestFit="1" customWidth="1"/>
    <col min="7" max="16384" width="9.140625" style="12"/>
  </cols>
  <sheetData>
    <row r="1" spans="1:28" ht="24" customHeight="1" x14ac:dyDescent="0.25">
      <c r="A1" s="10" t="s">
        <v>0</v>
      </c>
      <c r="B1" s="9" t="s">
        <v>7</v>
      </c>
      <c r="C1" s="9" t="s">
        <v>8</v>
      </c>
      <c r="D1" s="10" t="s">
        <v>9</v>
      </c>
      <c r="E1" s="11"/>
      <c r="F1" s="10" t="s">
        <v>11</v>
      </c>
      <c r="G1" s="10" t="s">
        <v>12</v>
      </c>
      <c r="H1" s="10" t="s">
        <v>16</v>
      </c>
      <c r="I1" s="11"/>
      <c r="J1" s="11"/>
      <c r="K1" s="11"/>
      <c r="L1" s="11"/>
      <c r="M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x14ac:dyDescent="0.25">
      <c r="A2" s="11">
        <v>0</v>
      </c>
      <c r="B2" s="11">
        <v>7</v>
      </c>
      <c r="C2" s="11">
        <f t="shared" ref="C2:C13" si="0" xml:space="preserve"> -1*$G$2*A2/LN(10)+ $G$3</f>
        <v>6.5796549296862628</v>
      </c>
      <c r="D2" s="11">
        <f t="shared" ref="D2:D13" si="1" xml:space="preserve"> (B2 - C2)^2</f>
        <v>0.17668997813706072</v>
      </c>
      <c r="E2" s="11"/>
      <c r="F2" s="11" t="s">
        <v>13</v>
      </c>
      <c r="G2" s="15">
        <v>0.4338282580515313</v>
      </c>
      <c r="H2" s="15">
        <v>3.7355056124976034E-2</v>
      </c>
      <c r="I2" s="11"/>
      <c r="J2" s="11"/>
      <c r="K2" s="11"/>
      <c r="L2" s="13" t="s">
        <v>17</v>
      </c>
      <c r="M2" s="15">
        <v>0.21713076259564631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x14ac:dyDescent="0.25">
      <c r="A3" s="11">
        <v>14</v>
      </c>
      <c r="B3" s="11">
        <v>3.2108533653148932</v>
      </c>
      <c r="C3" s="11">
        <f t="shared" si="0"/>
        <v>3.9419258697695425</v>
      </c>
      <c r="D3" s="11">
        <f t="shared" si="1"/>
        <v>0.53446700676959324</v>
      </c>
      <c r="E3" s="11"/>
      <c r="F3" s="11" t="s">
        <v>14</v>
      </c>
      <c r="G3" s="15">
        <v>6.5796549296862628</v>
      </c>
      <c r="H3" s="15">
        <v>0.25702215777964688</v>
      </c>
      <c r="I3" s="11"/>
      <c r="J3" s="11"/>
      <c r="K3" s="11"/>
      <c r="L3" s="13" t="s">
        <v>20</v>
      </c>
      <c r="M3" s="15">
        <f>SQRT(M2)</f>
        <v>0.4659729204531593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x14ac:dyDescent="0.25">
      <c r="A4" s="11">
        <v>18</v>
      </c>
      <c r="B4" s="11">
        <v>3.4586378490256493</v>
      </c>
      <c r="C4" s="11">
        <f t="shared" si="0"/>
        <v>3.1882889955076226</v>
      </c>
      <c r="D4" s="11">
        <f t="shared" si="1"/>
        <v>7.3088502598511476E-2</v>
      </c>
      <c r="E4" s="11"/>
      <c r="F4" s="11"/>
      <c r="G4" s="11"/>
      <c r="H4" s="11"/>
      <c r="I4" s="11"/>
      <c r="J4" s="11"/>
      <c r="K4" s="11"/>
      <c r="L4" s="13" t="s">
        <v>18</v>
      </c>
      <c r="M4" s="15">
        <v>0.93097578193613906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x14ac:dyDescent="0.25">
      <c r="A5" s="11">
        <v>22</v>
      </c>
      <c r="B5" s="11">
        <v>2.6283889300503116</v>
      </c>
      <c r="C5" s="11">
        <f t="shared" si="0"/>
        <v>2.4346521212457031</v>
      </c>
      <c r="D5" s="11">
        <f t="shared" si="1"/>
        <v>3.7533951085793438E-2</v>
      </c>
      <c r="E5" s="11"/>
      <c r="F5" s="11"/>
      <c r="G5" s="11"/>
      <c r="H5" s="11"/>
      <c r="I5" s="11"/>
      <c r="J5" s="11"/>
      <c r="K5" s="11"/>
      <c r="L5" s="13" t="s">
        <v>19</v>
      </c>
      <c r="M5" s="15">
        <v>0.92407336012975294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5">
      <c r="A6" s="11">
        <v>0</v>
      </c>
      <c r="B6" s="11">
        <v>6.568201724066995</v>
      </c>
      <c r="C6" s="11">
        <f t="shared" si="0"/>
        <v>6.5796549296862628</v>
      </c>
      <c r="D6" s="11">
        <f t="shared" si="1"/>
        <v>1.3117591895722683E-4</v>
      </c>
      <c r="E6" s="11"/>
      <c r="F6" s="11"/>
      <c r="G6" s="11"/>
      <c r="H6" s="11"/>
      <c r="I6" s="11"/>
      <c r="J6" s="11"/>
      <c r="K6" s="11"/>
      <c r="L6" s="13" t="s">
        <v>33</v>
      </c>
      <c r="M6" s="14" t="s">
        <v>35</v>
      </c>
      <c r="N6" s="12" t="s">
        <v>34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5">
      <c r="A7" s="11">
        <v>14</v>
      </c>
      <c r="B7" s="11">
        <v>3.9542425094393248</v>
      </c>
      <c r="C7" s="11">
        <f t="shared" si="0"/>
        <v>3.9419258697695425</v>
      </c>
      <c r="D7" s="11">
        <f t="shared" si="1"/>
        <v>1.5169961275525375E-4</v>
      </c>
      <c r="E7" s="11"/>
      <c r="F7" s="10" t="s">
        <v>21</v>
      </c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x14ac:dyDescent="0.25">
      <c r="A8" s="11">
        <v>18</v>
      </c>
      <c r="B8" s="11">
        <v>3.5882717068423289</v>
      </c>
      <c r="C8" s="11">
        <f t="shared" si="0"/>
        <v>3.1882889955076226</v>
      </c>
      <c r="D8" s="11">
        <f t="shared" si="1"/>
        <v>0.15998616936666299</v>
      </c>
      <c r="E8" s="11"/>
      <c r="F8" s="11" t="s">
        <v>36</v>
      </c>
      <c r="G8" s="11"/>
      <c r="H8" s="11"/>
      <c r="I8" s="11"/>
      <c r="J8" s="11"/>
      <c r="K8" s="11"/>
      <c r="L8" s="11"/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A9" s="11">
        <v>22</v>
      </c>
      <c r="B9" s="11">
        <v>2.5593080109070123</v>
      </c>
      <c r="C9" s="11">
        <f t="shared" si="0"/>
        <v>2.4346521212457031</v>
      </c>
      <c r="D9" s="11">
        <f t="shared" si="1"/>
        <v>1.5539090827252506E-2</v>
      </c>
      <c r="E9" s="11"/>
      <c r="F9" s="10" t="s">
        <v>23</v>
      </c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x14ac:dyDescent="0.25">
      <c r="A10" s="11">
        <v>0</v>
      </c>
      <c r="B10" s="11">
        <v>6.6989700043360187</v>
      </c>
      <c r="C10" s="11">
        <f t="shared" si="0"/>
        <v>6.5796549296862628</v>
      </c>
      <c r="D10" s="11">
        <f t="shared" si="1"/>
        <v>1.4236087038676844E-2</v>
      </c>
      <c r="E10" s="11"/>
      <c r="F10" s="11" t="s">
        <v>37</v>
      </c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x14ac:dyDescent="0.25">
      <c r="A11" s="11">
        <v>14</v>
      </c>
      <c r="B11" s="11">
        <v>3.0969100130080562</v>
      </c>
      <c r="C11" s="11">
        <f t="shared" si="0"/>
        <v>3.9419258697695425</v>
      </c>
      <c r="D11" s="11">
        <f t="shared" si="1"/>
        <v>0.71405179817834874</v>
      </c>
      <c r="E11" s="11"/>
      <c r="F11" s="10" t="s">
        <v>25</v>
      </c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x14ac:dyDescent="0.25">
      <c r="A12" s="11">
        <v>18</v>
      </c>
      <c r="B12" s="11">
        <v>2.7403626894942437</v>
      </c>
      <c r="C12" s="11">
        <f t="shared" si="0"/>
        <v>3.1882889955076226</v>
      </c>
      <c r="D12" s="11">
        <f t="shared" si="1"/>
        <v>0.20063797561879115</v>
      </c>
      <c r="E12" s="11"/>
      <c r="F12" s="21" t="s">
        <v>38</v>
      </c>
      <c r="G12" s="22"/>
      <c r="H12" s="22"/>
      <c r="I12" s="22"/>
      <c r="J12" s="22"/>
      <c r="K12" s="22"/>
      <c r="L12" s="22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25">
      <c r="A13" s="11">
        <v>22</v>
      </c>
      <c r="B13" s="11">
        <v>2.9294189257142929</v>
      </c>
      <c r="C13" s="11">
        <f t="shared" si="0"/>
        <v>2.4346521212457031</v>
      </c>
      <c r="D13" s="11">
        <f t="shared" si="1"/>
        <v>0.24479419080405976</v>
      </c>
      <c r="E13" s="11"/>
      <c r="F13" s="22"/>
      <c r="G13" s="22"/>
      <c r="H13" s="22"/>
      <c r="I13" s="22"/>
      <c r="J13" s="22"/>
      <c r="K13" s="22"/>
      <c r="L13" s="22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x14ac:dyDescent="0.25">
      <c r="A14" s="10" t="s">
        <v>10</v>
      </c>
      <c r="B14" s="11"/>
      <c r="C14" s="11"/>
      <c r="D14" s="11">
        <f>SUM(D2:D13)</f>
        <v>2.1713076259564632</v>
      </c>
      <c r="E14" s="11"/>
      <c r="F14" s="22"/>
      <c r="G14" s="22"/>
      <c r="H14" s="22"/>
      <c r="I14" s="22"/>
      <c r="J14" s="22"/>
      <c r="K14" s="22"/>
      <c r="L14" s="22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x14ac:dyDescent="0.25">
      <c r="A17" s="11">
        <v>0</v>
      </c>
      <c r="B17" s="11"/>
      <c r="C17" s="11">
        <f xml:space="preserve"> -1*$G$2*A17/LN(10)+ $G$3</f>
        <v>6.5796549296862628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25">
      <c r="A18" s="11">
        <v>0.22</v>
      </c>
      <c r="B18" s="11"/>
      <c r="C18" s="11">
        <f t="shared" ref="C18:C81" si="2" xml:space="preserve"> -1*$G$2*A18/LN(10)+ $G$3</f>
        <v>6.5382049016018575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x14ac:dyDescent="0.25">
      <c r="A19" s="11">
        <v>0.44</v>
      </c>
      <c r="B19" s="11"/>
      <c r="C19" s="11">
        <f t="shared" si="2"/>
        <v>6.4967548735174514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x14ac:dyDescent="0.25">
      <c r="A20" s="11">
        <v>0.66</v>
      </c>
      <c r="B20" s="11"/>
      <c r="C20" s="11">
        <f t="shared" si="2"/>
        <v>6.4553048454330462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x14ac:dyDescent="0.25">
      <c r="A21" s="11">
        <v>0.88</v>
      </c>
      <c r="B21" s="11"/>
      <c r="C21" s="11">
        <f t="shared" si="2"/>
        <v>6.41385481734864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x14ac:dyDescent="0.25">
      <c r="A22" s="11">
        <v>1.1000000000000001</v>
      </c>
      <c r="B22" s="11"/>
      <c r="C22" s="11">
        <f t="shared" si="2"/>
        <v>6.3724047892642348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x14ac:dyDescent="0.25">
      <c r="A23" s="11">
        <v>1.32</v>
      </c>
      <c r="B23" s="11"/>
      <c r="C23" s="11">
        <f t="shared" si="2"/>
        <v>6.3309547611798287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x14ac:dyDescent="0.25">
      <c r="A24" s="11">
        <v>1.54</v>
      </c>
      <c r="B24" s="11"/>
      <c r="C24" s="11">
        <f t="shared" si="2"/>
        <v>6.2895047330954235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x14ac:dyDescent="0.25">
      <c r="A25" s="11">
        <v>1.76</v>
      </c>
      <c r="B25" s="11"/>
      <c r="C25" s="11">
        <f t="shared" si="2"/>
        <v>6.2480547050110182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x14ac:dyDescent="0.25">
      <c r="A26" s="11">
        <v>1.98</v>
      </c>
      <c r="B26" s="11"/>
      <c r="C26" s="11">
        <f t="shared" si="2"/>
        <v>6.2066046769266121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x14ac:dyDescent="0.25">
      <c r="A27" s="11">
        <v>2.2000000000000002</v>
      </c>
      <c r="B27" s="11"/>
      <c r="C27" s="11">
        <f t="shared" si="2"/>
        <v>6.1651546488422069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x14ac:dyDescent="0.25">
      <c r="A28" s="11">
        <v>2.4200000000000004</v>
      </c>
      <c r="B28" s="11"/>
      <c r="C28" s="11">
        <f t="shared" si="2"/>
        <v>6.1237046207578008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x14ac:dyDescent="0.25">
      <c r="A29" s="11">
        <v>2.6400000000000006</v>
      </c>
      <c r="B29" s="11"/>
      <c r="C29" s="11">
        <f t="shared" si="2"/>
        <v>6.0822545926733955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x14ac:dyDescent="0.25">
      <c r="A30" s="11">
        <v>2.8600000000000008</v>
      </c>
      <c r="B30" s="11"/>
      <c r="C30" s="11">
        <f t="shared" si="2"/>
        <v>6.0408045645889903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x14ac:dyDescent="0.25">
      <c r="A31" s="11">
        <v>3.080000000000001</v>
      </c>
      <c r="B31" s="11"/>
      <c r="C31" s="11">
        <f t="shared" si="2"/>
        <v>5.9993545365045842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x14ac:dyDescent="0.25">
      <c r="A32" s="11">
        <v>3.3000000000000012</v>
      </c>
      <c r="B32" s="11"/>
      <c r="C32" s="11">
        <f t="shared" si="2"/>
        <v>5.957904508420178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x14ac:dyDescent="0.25">
      <c r="A33" s="11">
        <v>3.5200000000000014</v>
      </c>
      <c r="B33" s="11"/>
      <c r="C33" s="11">
        <f t="shared" si="2"/>
        <v>5.9164544803357728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x14ac:dyDescent="0.25">
      <c r="A34" s="11">
        <v>3.7400000000000015</v>
      </c>
      <c r="B34" s="11"/>
      <c r="C34" s="11">
        <f t="shared" si="2"/>
        <v>5.8750044522513676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x14ac:dyDescent="0.25">
      <c r="A35" s="11">
        <v>3.9600000000000017</v>
      </c>
      <c r="B35" s="11"/>
      <c r="C35" s="11">
        <f t="shared" si="2"/>
        <v>5.8335544241669615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x14ac:dyDescent="0.25">
      <c r="A36" s="11">
        <v>4.1800000000000015</v>
      </c>
      <c r="B36" s="11"/>
      <c r="C36" s="11">
        <f t="shared" si="2"/>
        <v>5.7921043960825562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x14ac:dyDescent="0.25">
      <c r="A37" s="11">
        <v>4.4000000000000012</v>
      </c>
      <c r="B37" s="11"/>
      <c r="C37" s="11">
        <f t="shared" si="2"/>
        <v>5.7506543679981501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x14ac:dyDescent="0.25">
      <c r="A38" s="11">
        <v>4.620000000000001</v>
      </c>
      <c r="B38" s="11"/>
      <c r="C38" s="11">
        <f t="shared" si="2"/>
        <v>5.7092043399137449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x14ac:dyDescent="0.25">
      <c r="A39" s="11">
        <v>4.8400000000000007</v>
      </c>
      <c r="B39" s="11"/>
      <c r="C39" s="11">
        <f t="shared" si="2"/>
        <v>5.6677543118293396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x14ac:dyDescent="0.25">
      <c r="A40" s="11">
        <v>5.0600000000000005</v>
      </c>
      <c r="B40" s="11"/>
      <c r="C40" s="11">
        <f t="shared" si="2"/>
        <v>5.6263042837449335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x14ac:dyDescent="0.25">
      <c r="A41" s="11">
        <v>5.28</v>
      </c>
      <c r="B41" s="11"/>
      <c r="C41" s="11">
        <f t="shared" si="2"/>
        <v>5.5848542556605283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x14ac:dyDescent="0.25">
      <c r="A42" s="11">
        <v>5.5</v>
      </c>
      <c r="B42" s="11"/>
      <c r="C42" s="11">
        <f t="shared" si="2"/>
        <v>5.5434042275761231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x14ac:dyDescent="0.25">
      <c r="A43" s="11">
        <v>5.72</v>
      </c>
      <c r="B43" s="11"/>
      <c r="C43" s="11">
        <f t="shared" si="2"/>
        <v>5.5019541994917169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x14ac:dyDescent="0.25">
      <c r="A44" s="11">
        <v>5.9399999999999995</v>
      </c>
      <c r="B44" s="11"/>
      <c r="C44" s="11">
        <f t="shared" si="2"/>
        <v>5.4605041714073117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x14ac:dyDescent="0.25">
      <c r="A45" s="11">
        <v>6.1599999999999993</v>
      </c>
      <c r="B45" s="11"/>
      <c r="C45" s="11">
        <f t="shared" si="2"/>
        <v>5.4190541433229065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x14ac:dyDescent="0.25">
      <c r="A46" s="11">
        <v>6.379999999999999</v>
      </c>
      <c r="B46" s="11"/>
      <c r="C46" s="11">
        <f t="shared" si="2"/>
        <v>5.3776041152385003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x14ac:dyDescent="0.25">
      <c r="A47" s="11">
        <v>6.5999999999999988</v>
      </c>
      <c r="B47" s="11"/>
      <c r="C47" s="11">
        <f t="shared" si="2"/>
        <v>5.3361540871540951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x14ac:dyDescent="0.25">
      <c r="A48" s="11">
        <v>6.8199999999999985</v>
      </c>
      <c r="B48" s="11"/>
      <c r="C48" s="11">
        <f t="shared" si="2"/>
        <v>5.294704059069689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x14ac:dyDescent="0.25">
      <c r="A49" s="11">
        <v>7.0399999999999983</v>
      </c>
      <c r="B49" s="11"/>
      <c r="C49" s="11">
        <f t="shared" si="2"/>
        <v>5.2532540309852838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x14ac:dyDescent="0.25">
      <c r="A50" s="11">
        <v>7.259999999999998</v>
      </c>
      <c r="B50" s="11"/>
      <c r="C50" s="11">
        <f t="shared" si="2"/>
        <v>5.2118040029008785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x14ac:dyDescent="0.25">
      <c r="A51" s="11">
        <v>7.4799999999999978</v>
      </c>
      <c r="B51" s="11"/>
      <c r="C51" s="11">
        <f t="shared" si="2"/>
        <v>5.1703539748164733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x14ac:dyDescent="0.25">
      <c r="A52" s="11">
        <v>7.6999999999999975</v>
      </c>
      <c r="B52" s="11"/>
      <c r="C52" s="11">
        <f t="shared" si="2"/>
        <v>5.1289039467320672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x14ac:dyDescent="0.25">
      <c r="A53" s="11">
        <v>7.9199999999999973</v>
      </c>
      <c r="B53" s="11"/>
      <c r="C53" s="11">
        <f t="shared" si="2"/>
        <v>5.0874539186476611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x14ac:dyDescent="0.25">
      <c r="A54" s="11">
        <v>8.139999999999997</v>
      </c>
      <c r="B54" s="11"/>
      <c r="C54" s="11">
        <f t="shared" si="2"/>
        <v>5.0460038905632558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x14ac:dyDescent="0.25">
      <c r="A55" s="11">
        <v>8.3599999999999977</v>
      </c>
      <c r="B55" s="11"/>
      <c r="C55" s="11">
        <f t="shared" si="2"/>
        <v>5.0045538624788506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x14ac:dyDescent="0.25">
      <c r="A56" s="11">
        <v>8.5799999999999983</v>
      </c>
      <c r="B56" s="11"/>
      <c r="C56" s="11">
        <f t="shared" si="2"/>
        <v>4.9631038343944445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x14ac:dyDescent="0.25">
      <c r="A57" s="11">
        <v>8.7999999999999989</v>
      </c>
      <c r="B57" s="11"/>
      <c r="C57" s="11">
        <f t="shared" si="2"/>
        <v>4.9216538063100392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x14ac:dyDescent="0.25">
      <c r="A58" s="11">
        <v>9.02</v>
      </c>
      <c r="B58" s="11"/>
      <c r="C58" s="11">
        <f t="shared" si="2"/>
        <v>4.8802037782256331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x14ac:dyDescent="0.25">
      <c r="A59" s="11">
        <v>9.24</v>
      </c>
      <c r="B59" s="11"/>
      <c r="C59" s="11">
        <f t="shared" si="2"/>
        <v>4.838753750141227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x14ac:dyDescent="0.25">
      <c r="A60" s="11">
        <v>9.4600000000000009</v>
      </c>
      <c r="B60" s="11"/>
      <c r="C60" s="11">
        <f t="shared" si="2"/>
        <v>4.7973037220568218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x14ac:dyDescent="0.25">
      <c r="A61" s="11">
        <v>9.6800000000000015</v>
      </c>
      <c r="B61" s="11"/>
      <c r="C61" s="11">
        <f t="shared" si="2"/>
        <v>4.7558536939724156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x14ac:dyDescent="0.25">
      <c r="A62" s="11">
        <v>9.9000000000000021</v>
      </c>
      <c r="B62" s="11"/>
      <c r="C62" s="11">
        <f t="shared" si="2"/>
        <v>4.7144036658880104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x14ac:dyDescent="0.25">
      <c r="A63" s="11">
        <v>10.120000000000003</v>
      </c>
      <c r="B63" s="11"/>
      <c r="C63" s="11">
        <f t="shared" si="2"/>
        <v>4.6729536378036043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x14ac:dyDescent="0.25">
      <c r="A64" s="11">
        <v>10.340000000000003</v>
      </c>
      <c r="B64" s="11"/>
      <c r="C64" s="11">
        <f t="shared" si="2"/>
        <v>4.6315036097191991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x14ac:dyDescent="0.25">
      <c r="A65" s="11">
        <v>10.560000000000004</v>
      </c>
      <c r="B65" s="11"/>
      <c r="C65" s="11">
        <f t="shared" si="2"/>
        <v>4.5900535816347929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x14ac:dyDescent="0.25">
      <c r="A66" s="11">
        <v>10.780000000000005</v>
      </c>
      <c r="B66" s="11"/>
      <c r="C66" s="11">
        <f t="shared" si="2"/>
        <v>4.5486035535503877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x14ac:dyDescent="0.25">
      <c r="A67" s="11">
        <v>11.000000000000005</v>
      </c>
      <c r="B67" s="11"/>
      <c r="C67" s="11">
        <f t="shared" si="2"/>
        <v>4.5071535254659816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x14ac:dyDescent="0.25">
      <c r="A68" s="11">
        <v>11.220000000000006</v>
      </c>
      <c r="B68" s="11"/>
      <c r="C68" s="11">
        <f t="shared" si="2"/>
        <v>4.4657034973815755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x14ac:dyDescent="0.25">
      <c r="A69" s="11">
        <v>11.440000000000007</v>
      </c>
      <c r="B69" s="11"/>
      <c r="C69" s="11">
        <f t="shared" si="2"/>
        <v>4.4242534692971702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x14ac:dyDescent="0.25">
      <c r="A70" s="11">
        <v>11.660000000000007</v>
      </c>
      <c r="B70" s="11"/>
      <c r="C70" s="11">
        <f t="shared" si="2"/>
        <v>4.382803441212765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x14ac:dyDescent="0.25">
      <c r="A71" s="11">
        <v>11.880000000000008</v>
      </c>
      <c r="B71" s="11"/>
      <c r="C71" s="11">
        <f t="shared" si="2"/>
        <v>4.3413534131283589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x14ac:dyDescent="0.25">
      <c r="A72" s="11">
        <v>12.100000000000009</v>
      </c>
      <c r="B72" s="11"/>
      <c r="C72" s="11">
        <f t="shared" si="2"/>
        <v>4.2999033850439528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x14ac:dyDescent="0.25">
      <c r="A73" s="11">
        <v>12.320000000000009</v>
      </c>
      <c r="B73" s="11"/>
      <c r="C73" s="11">
        <f t="shared" si="2"/>
        <v>4.2584533569595475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x14ac:dyDescent="0.25">
      <c r="A74" s="11">
        <v>12.54000000000001</v>
      </c>
      <c r="B74" s="11"/>
      <c r="C74" s="11">
        <f t="shared" si="2"/>
        <v>4.2170033288751423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x14ac:dyDescent="0.25">
      <c r="A75" s="11">
        <v>12.76000000000001</v>
      </c>
      <c r="B75" s="11"/>
      <c r="C75" s="11">
        <f t="shared" si="2"/>
        <v>4.1755533007907362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x14ac:dyDescent="0.25">
      <c r="A76" s="11">
        <v>12.980000000000011</v>
      </c>
      <c r="B76" s="11"/>
      <c r="C76" s="11">
        <f t="shared" si="2"/>
        <v>4.13410327270633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x14ac:dyDescent="0.25">
      <c r="A77" s="11">
        <v>13.200000000000012</v>
      </c>
      <c r="B77" s="11"/>
      <c r="C77" s="11">
        <f t="shared" si="2"/>
        <v>4.0926532446219248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x14ac:dyDescent="0.25">
      <c r="A78" s="11">
        <v>13.420000000000012</v>
      </c>
      <c r="B78" s="11"/>
      <c r="C78" s="11">
        <f t="shared" si="2"/>
        <v>4.0512032165375187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x14ac:dyDescent="0.25">
      <c r="A79" s="11">
        <v>13.640000000000013</v>
      </c>
      <c r="B79" s="11"/>
      <c r="C79" s="11">
        <f t="shared" si="2"/>
        <v>4.0097531884531126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x14ac:dyDescent="0.25">
      <c r="A80" s="11">
        <v>13.860000000000014</v>
      </c>
      <c r="B80" s="11"/>
      <c r="C80" s="11">
        <f t="shared" si="2"/>
        <v>3.9683031603687073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x14ac:dyDescent="0.25">
      <c r="A81" s="11">
        <v>14.080000000000014</v>
      </c>
      <c r="B81" s="11"/>
      <c r="C81" s="11">
        <f t="shared" si="2"/>
        <v>3.9268531322843017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x14ac:dyDescent="0.25">
      <c r="A82" s="11">
        <v>14.300000000000015</v>
      </c>
      <c r="B82" s="11"/>
      <c r="C82" s="11">
        <f t="shared" ref="C82:C117" si="3" xml:space="preserve"> -1*$G$2*A82/LN(10)+ $G$3</f>
        <v>3.885403104199896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x14ac:dyDescent="0.25">
      <c r="A83" s="11">
        <v>14.520000000000016</v>
      </c>
      <c r="B83" s="11"/>
      <c r="C83" s="11">
        <f t="shared" si="3"/>
        <v>3.8439530761154899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x14ac:dyDescent="0.25">
      <c r="A84" s="11">
        <v>14.740000000000016</v>
      </c>
      <c r="B84" s="11"/>
      <c r="C84" s="11">
        <f t="shared" si="3"/>
        <v>3.8025030480310842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x14ac:dyDescent="0.25">
      <c r="A85" s="11">
        <v>14.960000000000017</v>
      </c>
      <c r="B85" s="11"/>
      <c r="C85" s="11">
        <f t="shared" si="3"/>
        <v>3.7610530199466785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x14ac:dyDescent="0.25">
      <c r="A86" s="11">
        <v>15.180000000000017</v>
      </c>
      <c r="B86" s="11"/>
      <c r="C86" s="11">
        <f t="shared" si="3"/>
        <v>3.7196029918622728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x14ac:dyDescent="0.25">
      <c r="A87" s="11">
        <v>15.400000000000018</v>
      </c>
      <c r="B87" s="11"/>
      <c r="C87" s="11">
        <f t="shared" si="3"/>
        <v>3.6781529637778672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x14ac:dyDescent="0.25">
      <c r="A88" s="11">
        <v>15.620000000000019</v>
      </c>
      <c r="B88" s="11"/>
      <c r="C88" s="11">
        <f t="shared" si="3"/>
        <v>3.6367029356934615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x14ac:dyDescent="0.25">
      <c r="A89" s="11">
        <v>15.840000000000019</v>
      </c>
      <c r="B89" s="11"/>
      <c r="C89" s="11">
        <f t="shared" si="3"/>
        <v>3.5952529076090558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x14ac:dyDescent="0.25">
      <c r="A90" s="11">
        <v>16.06000000000002</v>
      </c>
      <c r="B90" s="11"/>
      <c r="C90" s="11">
        <f t="shared" si="3"/>
        <v>3.5538028795246501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x14ac:dyDescent="0.25">
      <c r="A91" s="11">
        <v>16.280000000000019</v>
      </c>
      <c r="B91" s="11"/>
      <c r="C91" s="11">
        <f t="shared" si="3"/>
        <v>3.5123528514402445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x14ac:dyDescent="0.25">
      <c r="A92" s="11">
        <v>16.500000000000018</v>
      </c>
      <c r="B92" s="11"/>
      <c r="C92" s="11">
        <f t="shared" si="3"/>
        <v>3.4709028233558392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x14ac:dyDescent="0.25">
      <c r="A93" s="11">
        <v>16.720000000000017</v>
      </c>
      <c r="B93" s="11"/>
      <c r="C93" s="11">
        <f t="shared" si="3"/>
        <v>3.429452795271434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x14ac:dyDescent="0.25">
      <c r="A94" s="11">
        <v>16.940000000000015</v>
      </c>
      <c r="B94" s="11"/>
      <c r="C94" s="11">
        <f t="shared" si="3"/>
        <v>3.3880027671870288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x14ac:dyDescent="0.25">
      <c r="A95" s="11">
        <v>17.160000000000014</v>
      </c>
      <c r="B95" s="11"/>
      <c r="C95" s="11">
        <f t="shared" si="3"/>
        <v>3.3465527391026231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x14ac:dyDescent="0.25">
      <c r="A96" s="11">
        <v>17.380000000000013</v>
      </c>
      <c r="B96" s="11"/>
      <c r="C96" s="11">
        <f t="shared" si="3"/>
        <v>3.3051027110182178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x14ac:dyDescent="0.25">
      <c r="A97" s="11">
        <v>17.600000000000012</v>
      </c>
      <c r="B97" s="11"/>
      <c r="C97" s="11">
        <f t="shared" si="3"/>
        <v>3.2636526829338122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x14ac:dyDescent="0.25">
      <c r="A98" s="11">
        <v>17.820000000000011</v>
      </c>
      <c r="B98" s="11"/>
      <c r="C98" s="11">
        <f t="shared" si="3"/>
        <v>3.2222026548494069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x14ac:dyDescent="0.25">
      <c r="A99" s="11">
        <v>18.04000000000001</v>
      </c>
      <c r="B99" s="11"/>
      <c r="C99" s="11">
        <f t="shared" si="3"/>
        <v>3.1807526267650017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x14ac:dyDescent="0.25">
      <c r="A100" s="11">
        <v>18.260000000000009</v>
      </c>
      <c r="B100" s="11"/>
      <c r="C100" s="11">
        <f t="shared" si="3"/>
        <v>3.139302598680596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x14ac:dyDescent="0.25">
      <c r="A101" s="11">
        <v>18.480000000000008</v>
      </c>
      <c r="B101" s="11"/>
      <c r="C101" s="11">
        <f t="shared" si="3"/>
        <v>3.0978525705961912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x14ac:dyDescent="0.25">
      <c r="A102" s="11">
        <v>18.700000000000006</v>
      </c>
      <c r="B102" s="11"/>
      <c r="C102" s="11">
        <f t="shared" si="3"/>
        <v>3.0564025425117856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x14ac:dyDescent="0.25">
      <c r="A103" s="11">
        <v>18.920000000000005</v>
      </c>
      <c r="B103" s="11"/>
      <c r="C103" s="11">
        <f t="shared" si="3"/>
        <v>3.0149525144273794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x14ac:dyDescent="0.25">
      <c r="A104" s="11">
        <v>19.140000000000004</v>
      </c>
      <c r="B104" s="11"/>
      <c r="C104" s="11">
        <f t="shared" si="3"/>
        <v>2.9735024863429746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x14ac:dyDescent="0.25">
      <c r="A105" s="11">
        <v>19.360000000000003</v>
      </c>
      <c r="B105" s="11"/>
      <c r="C105" s="11">
        <f t="shared" si="3"/>
        <v>2.932052458258569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x14ac:dyDescent="0.25">
      <c r="A106" s="11">
        <v>19.580000000000002</v>
      </c>
      <c r="B106" s="11"/>
      <c r="C106" s="11">
        <f t="shared" si="3"/>
        <v>2.8906024301741642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x14ac:dyDescent="0.25">
      <c r="A107" s="11">
        <v>19.8</v>
      </c>
      <c r="B107" s="11"/>
      <c r="C107" s="11">
        <f t="shared" si="3"/>
        <v>2.8491524020897585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x14ac:dyDescent="0.25">
      <c r="A108" s="11">
        <v>20.02</v>
      </c>
      <c r="B108" s="11"/>
      <c r="C108" s="11">
        <f t="shared" si="3"/>
        <v>2.8077023740053533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x14ac:dyDescent="0.25">
      <c r="A109" s="11">
        <v>20.239999999999998</v>
      </c>
      <c r="B109" s="11"/>
      <c r="C109" s="11">
        <f t="shared" si="3"/>
        <v>2.7662523459209476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x14ac:dyDescent="0.25">
      <c r="A110" s="11">
        <v>20.459999999999997</v>
      </c>
      <c r="B110" s="11"/>
      <c r="C110" s="11">
        <f t="shared" si="3"/>
        <v>2.7248023178365419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x14ac:dyDescent="0.25">
      <c r="A111" s="11">
        <v>20.679999999999996</v>
      </c>
      <c r="B111" s="11"/>
      <c r="C111" s="11">
        <f t="shared" si="3"/>
        <v>2.6833522897521371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x14ac:dyDescent="0.25">
      <c r="A112" s="11">
        <v>20.899999999999995</v>
      </c>
      <c r="B112" s="11"/>
      <c r="C112" s="11">
        <f t="shared" si="3"/>
        <v>2.6419022616677315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x14ac:dyDescent="0.25">
      <c r="A113" s="11">
        <v>21.119999999999994</v>
      </c>
      <c r="B113" s="11"/>
      <c r="C113" s="11">
        <f t="shared" si="3"/>
        <v>2.6004522335833262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x14ac:dyDescent="0.25">
      <c r="A114" s="11">
        <v>21.339999999999993</v>
      </c>
      <c r="B114" s="11"/>
      <c r="C114" s="11">
        <f t="shared" si="3"/>
        <v>2.5590022054989205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x14ac:dyDescent="0.25">
      <c r="A115" s="11">
        <v>21.559999999999992</v>
      </c>
      <c r="B115" s="11"/>
      <c r="C115" s="11">
        <f t="shared" si="3"/>
        <v>2.5175521774145153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x14ac:dyDescent="0.25">
      <c r="A116" s="11">
        <v>21.77999999999999</v>
      </c>
      <c r="B116" s="11"/>
      <c r="C116" s="11">
        <f t="shared" si="3"/>
        <v>2.4761021493301101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x14ac:dyDescent="0.25">
      <c r="A117" s="11">
        <v>21.999999999999989</v>
      </c>
      <c r="B117" s="11"/>
      <c r="C117" s="11">
        <f t="shared" si="3"/>
        <v>2.434652121245704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Data Extended</vt:lpstr>
      <vt:lpstr>All Data Standard</vt:lpstr>
      <vt:lpstr>12628E_Biphasic</vt:lpstr>
      <vt:lpstr>12628E</vt:lpstr>
      <vt:lpstr>12662_Biphasic</vt:lpstr>
      <vt:lpstr>12662</vt:lpstr>
      <vt:lpstr>12662E_Geeraerd_Tail</vt:lpstr>
      <vt:lpstr>12662E</vt:lpstr>
      <vt:lpstr>13136_Log_Linear</vt:lpstr>
      <vt:lpstr>13136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Interiors Direct Heating 64C</dc:title>
  <dc:creator>trjones</dc:creator>
  <cp:lastModifiedBy>Ginn, Michael</cp:lastModifiedBy>
  <dcterms:created xsi:type="dcterms:W3CDTF">2014-03-11T11:03:02Z</dcterms:created>
  <dcterms:modified xsi:type="dcterms:W3CDTF">2016-11-01T18:22:03Z</dcterms:modified>
</cp:coreProperties>
</file>